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390" windowHeight="9315" tabRatio="619" activeTab="0"/>
  </bookViews>
  <sheets>
    <sheet name="1Tепло" sheetId="1" r:id="rId1"/>
    <sheet name="2Пар" sheetId="2" r:id="rId2"/>
    <sheet name="3Тепуст" sheetId="3" r:id="rId3"/>
    <sheet name="4Пол" sheetId="4" r:id="rId4"/>
    <sheet name="5Воздух" sheetId="5" r:id="rId5"/>
    <sheet name="Tab" sheetId="6" r:id="rId6"/>
  </sheets>
  <externalReferences>
    <externalReference r:id="rId9"/>
  </externalReferences>
  <definedNames>
    <definedName name="_xlnm.Print_Area" localSheetId="0">'1Tепло'!$A$1:$R$38</definedName>
    <definedName name="_xlnm.Print_Area" localSheetId="1">'2Пар'!$A$1:$S$111</definedName>
    <definedName name="_xlnm.Print_Area" localSheetId="2">'3Тепуст'!$A$1:$N$38</definedName>
    <definedName name="_xlnm.Print_Area" localSheetId="3">'4Пол'!$A$1:$N$34</definedName>
    <definedName name="_xlnm.Print_Area" localSheetId="4">'5Воздух'!$A$1:$Q$58</definedName>
    <definedName name="_xlnm.Print_Area" localSheetId="5">'Tab'!$C$160:$AE$162</definedName>
  </definedNames>
  <calcPr fullCalcOnLoad="1"/>
</workbook>
</file>

<file path=xl/sharedStrings.xml><?xml version="1.0" encoding="utf-8"?>
<sst xmlns="http://schemas.openxmlformats.org/spreadsheetml/2006/main" count="1384" uniqueCount="870">
  <si>
    <t xml:space="preserve"> </t>
  </si>
  <si>
    <t xml:space="preserve"> I . Сопротивление теплопередаче ограждающей конструкции </t>
  </si>
  <si>
    <t xml:space="preserve">Вид здания                                </t>
  </si>
  <si>
    <t>Вид ограж. конструкции</t>
  </si>
  <si>
    <t>Город</t>
  </si>
  <si>
    <t xml:space="preserve">               ГСОПсредно=</t>
  </si>
  <si>
    <t>N  ред =</t>
  </si>
  <si>
    <r>
      <t>Температура  внутреннего воздуха</t>
    </r>
    <r>
      <rPr>
        <sz val="9"/>
        <rFont val="Courier New Cyr"/>
        <family val="3"/>
      </rPr>
      <t xml:space="preserve">  </t>
    </r>
    <r>
      <rPr>
        <sz val="9"/>
        <rFont val="CourierCyr"/>
        <family val="3"/>
      </rPr>
      <t>t</t>
    </r>
    <r>
      <rPr>
        <sz val="9"/>
        <rFont val="Times New Roman Cyr"/>
        <family val="1"/>
      </rPr>
      <t>в</t>
    </r>
    <r>
      <rPr>
        <sz val="9"/>
        <rFont val="CourierCyr"/>
        <family val="3"/>
      </rPr>
      <t>=</t>
    </r>
  </si>
  <si>
    <t>Температура наружного воздуха    tн=</t>
  </si>
  <si>
    <r>
      <t>o</t>
    </r>
    <r>
      <rPr>
        <sz val="8"/>
        <rFont val="Times New Roman Cyr"/>
        <family val="0"/>
      </rPr>
      <t>C</t>
    </r>
  </si>
  <si>
    <t>N  колона =</t>
  </si>
  <si>
    <r>
      <t xml:space="preserve">Влажность  внутреннего воздуха    </t>
    </r>
    <r>
      <rPr>
        <sz val="9"/>
        <rFont val="Symbol"/>
        <family val="1"/>
      </rPr>
      <t>j</t>
    </r>
    <r>
      <rPr>
        <sz val="9"/>
        <rFont val="Times New Roman Cyr"/>
        <family val="1"/>
      </rPr>
      <t>в  =</t>
    </r>
  </si>
  <si>
    <t>%</t>
  </si>
  <si>
    <r>
      <t>Сред.темп. отоплит. периода  t</t>
    </r>
    <r>
      <rPr>
        <sz val="8"/>
        <rFont val="Times New Roman Cyr"/>
        <family val="1"/>
      </rPr>
      <t>от.п.</t>
    </r>
    <r>
      <rPr>
        <sz val="9"/>
        <rFont val="Times New Roman Cyr"/>
        <family val="1"/>
      </rPr>
      <t>=</t>
    </r>
  </si>
  <si>
    <t xml:space="preserve"> Тепловая инерция  D=</t>
  </si>
  <si>
    <r>
      <t xml:space="preserve">Коэффициент теплоотд. внутр. пов.  </t>
    </r>
    <r>
      <rPr>
        <sz val="9"/>
        <rFont val="Symbol"/>
        <family val="1"/>
      </rPr>
      <t>a</t>
    </r>
    <r>
      <rPr>
        <sz val="9"/>
        <rFont val="Times New Roman Cyr"/>
        <family val="1"/>
      </rPr>
      <t>в=</t>
    </r>
  </si>
  <si>
    <r>
      <t xml:space="preserve">Продолжит. отоп. периода </t>
    </r>
    <r>
      <rPr>
        <sz val="11"/>
        <rFont val="Times New Roman Cyr"/>
        <family val="1"/>
      </rPr>
      <t>z</t>
    </r>
    <r>
      <rPr>
        <sz val="8"/>
        <rFont val="Times New Roman Cyr"/>
        <family val="1"/>
      </rPr>
      <t>оп</t>
    </r>
    <r>
      <rPr>
        <sz val="9"/>
        <rFont val="Times New Roman Cyr"/>
        <family val="1"/>
      </rPr>
      <t>.=</t>
    </r>
  </si>
  <si>
    <t>сутки</t>
  </si>
  <si>
    <r>
      <t xml:space="preserve">Коэффициент теплоотд. наруж.пов.  </t>
    </r>
    <r>
      <rPr>
        <sz val="9"/>
        <rFont val="Symbol"/>
        <family val="1"/>
      </rPr>
      <t>a</t>
    </r>
    <r>
      <rPr>
        <sz val="9"/>
        <rFont val="Times New Roman Cyr"/>
        <family val="1"/>
      </rPr>
      <t>н=</t>
    </r>
  </si>
  <si>
    <t>(таб.6*)</t>
  </si>
  <si>
    <r>
      <t xml:space="preserve">Условия экспл. в зонах влажности  </t>
    </r>
    <r>
      <rPr>
        <sz val="10"/>
        <rFont val="Times New Roman CYR"/>
        <family val="1"/>
      </rPr>
      <t>-</t>
    </r>
  </si>
  <si>
    <t>Коэффициент теплотехн. однород.  rод.=</t>
  </si>
  <si>
    <t>Коэффициент полож.наруж поверхн.  n=</t>
  </si>
  <si>
    <t>(таб.3*)</t>
  </si>
  <si>
    <t xml:space="preserve">  </t>
  </si>
  <si>
    <r>
      <t xml:space="preserve">Нормируемый  температур.перепад  </t>
    </r>
    <r>
      <rPr>
        <sz val="9"/>
        <rFont val="Symbol"/>
        <family val="1"/>
      </rPr>
      <t xml:space="preserve"> D</t>
    </r>
    <r>
      <rPr>
        <sz val="9"/>
        <rFont val="Times New Roman Cyr"/>
        <family val="1"/>
      </rPr>
      <t>tн=</t>
    </r>
  </si>
  <si>
    <t>Слой N</t>
  </si>
  <si>
    <r>
      <t>d</t>
    </r>
    <r>
      <rPr>
        <sz val="10"/>
        <color indexed="8"/>
        <rFont val="Times New Roman Cyr"/>
        <family val="1"/>
      </rPr>
      <t>(мм)</t>
    </r>
  </si>
  <si>
    <t>l</t>
  </si>
  <si>
    <t>S</t>
  </si>
  <si>
    <t>m</t>
  </si>
  <si>
    <t>g</t>
  </si>
  <si>
    <r>
      <t>t</t>
    </r>
    <r>
      <rPr>
        <sz val="10"/>
        <rFont val="CourierCyr"/>
        <family val="3"/>
      </rPr>
      <t>(</t>
    </r>
    <r>
      <rPr>
        <vertAlign val="superscript"/>
        <sz val="10"/>
        <rFont val="CourierCyr"/>
        <family val="3"/>
      </rPr>
      <t>o</t>
    </r>
    <r>
      <rPr>
        <sz val="10"/>
        <rFont val="CourierCyr"/>
        <family val="3"/>
      </rPr>
      <t>C)</t>
    </r>
  </si>
  <si>
    <t>Матер. N</t>
  </si>
  <si>
    <r>
      <t>l</t>
    </r>
    <r>
      <rPr>
        <sz val="10"/>
        <color indexed="8"/>
        <rFont val="TmsCyr"/>
        <family val="1"/>
      </rPr>
      <t>(A)</t>
    </r>
  </si>
  <si>
    <r>
      <t>l</t>
    </r>
    <r>
      <rPr>
        <sz val="10"/>
        <color indexed="8"/>
        <rFont val="TmsCyr"/>
        <family val="1"/>
      </rPr>
      <t>(B)</t>
    </r>
  </si>
  <si>
    <t>S(A)</t>
  </si>
  <si>
    <t>S(B)</t>
  </si>
  <si>
    <t>Dw</t>
  </si>
  <si>
    <r>
      <t>t</t>
    </r>
    <r>
      <rPr>
        <sz val="8"/>
        <rFont val="Times New Roman Cyr"/>
        <family val="1"/>
      </rPr>
      <t>в</t>
    </r>
  </si>
  <si>
    <r>
      <t>t</t>
    </r>
    <r>
      <rPr>
        <sz val="8"/>
        <rFont val="Symbol"/>
        <family val="1"/>
      </rPr>
      <t>1,2</t>
    </r>
  </si>
  <si>
    <r>
      <t>t</t>
    </r>
    <r>
      <rPr>
        <sz val="8"/>
        <rFont val="Symbol"/>
        <family val="1"/>
      </rPr>
      <t>2,3</t>
    </r>
  </si>
  <si>
    <r>
      <t>t</t>
    </r>
    <r>
      <rPr>
        <sz val="8"/>
        <rFont val="Symbol"/>
        <family val="1"/>
      </rPr>
      <t>3,4</t>
    </r>
  </si>
  <si>
    <r>
      <t>t</t>
    </r>
    <r>
      <rPr>
        <sz val="8"/>
        <rFont val="Symbol"/>
        <family val="1"/>
      </rPr>
      <t>4,5</t>
    </r>
  </si>
  <si>
    <r>
      <t>t</t>
    </r>
    <r>
      <rPr>
        <sz val="8"/>
        <rFont val="Symbol"/>
        <family val="1"/>
      </rPr>
      <t>5,6</t>
    </r>
  </si>
  <si>
    <t>е.=</t>
  </si>
  <si>
    <r>
      <t>t</t>
    </r>
    <r>
      <rPr>
        <sz val="8"/>
        <rFont val="Courier New Cyr"/>
        <family val="3"/>
      </rPr>
      <t>н</t>
    </r>
  </si>
  <si>
    <t xml:space="preserve"> Ro=</t>
  </si>
  <si>
    <r>
      <t>1/</t>
    </r>
    <r>
      <rPr>
        <sz val="8"/>
        <color indexed="33"/>
        <rFont val="Symbol"/>
        <family val="1"/>
      </rPr>
      <t>a</t>
    </r>
    <r>
      <rPr>
        <sz val="8"/>
        <color indexed="33"/>
        <rFont val="Times New Roman Cyr"/>
        <family val="1"/>
      </rPr>
      <t>1</t>
    </r>
  </si>
  <si>
    <t>/l1</t>
  </si>
  <si>
    <t>+  d2</t>
  </si>
  <si>
    <t>/l2</t>
  </si>
  <si>
    <t>+  d3</t>
  </si>
  <si>
    <t>/l3</t>
  </si>
  <si>
    <t>+  d4</t>
  </si>
  <si>
    <t>/l4 +</t>
  </si>
  <si>
    <t>+  d5</t>
  </si>
  <si>
    <t>/l5 +</t>
  </si>
  <si>
    <t>+  d6</t>
  </si>
  <si>
    <t>/l6 +</t>
  </si>
  <si>
    <t>1/a2</t>
  </si>
  <si>
    <t>=</t>
  </si>
  <si>
    <t>a1</t>
  </si>
  <si>
    <t>d1</t>
  </si>
  <si>
    <t>l1</t>
  </si>
  <si>
    <t>d2</t>
  </si>
  <si>
    <t>l2</t>
  </si>
  <si>
    <t>d3</t>
  </si>
  <si>
    <t>l3</t>
  </si>
  <si>
    <t>d4</t>
  </si>
  <si>
    <t>l4</t>
  </si>
  <si>
    <t>d5</t>
  </si>
  <si>
    <t>l5</t>
  </si>
  <si>
    <t>d6</t>
  </si>
  <si>
    <t>l6</t>
  </si>
  <si>
    <t>a2</t>
  </si>
  <si>
    <t>Ro.усл=</t>
  </si>
  <si>
    <t xml:space="preserve">  +</t>
  </si>
  <si>
    <t xml:space="preserve">   +</t>
  </si>
  <si>
    <t xml:space="preserve"> +</t>
  </si>
  <si>
    <t>tпом ,Eпом</t>
  </si>
  <si>
    <t>tзим&lt;-5</t>
  </si>
  <si>
    <t>N на ред</t>
  </si>
  <si>
    <t>Ro.=</t>
  </si>
  <si>
    <t xml:space="preserve">  Жил. Учил. Санат.</t>
  </si>
  <si>
    <t xml:space="preserve"> Наружная стена</t>
  </si>
  <si>
    <t>ГСОП=</t>
  </si>
  <si>
    <t>(tв-tн)z=</t>
  </si>
  <si>
    <t xml:space="preserve">     =</t>
  </si>
  <si>
    <t xml:space="preserve">  Общественные</t>
  </si>
  <si>
    <t xml:space="preserve"> Покрытий</t>
  </si>
  <si>
    <t>Ro.тр1=</t>
  </si>
  <si>
    <t xml:space="preserve"> Производственные</t>
  </si>
  <si>
    <t xml:space="preserve"> Перекрытий</t>
  </si>
  <si>
    <t>Ro.тр2=</t>
  </si>
  <si>
    <t xml:space="preserve"> R1.D1  +  R2.D2  +  R3.D3  +  R4.D4   +  R5.D5 +  R6.D6=</t>
  </si>
  <si>
    <t>tповерх.=</t>
  </si>
  <si>
    <t xml:space="preserve">  [ tв - ( tв - tн)Ro.8,7 ] =</t>
  </si>
  <si>
    <r>
      <t>o</t>
    </r>
    <r>
      <rPr>
        <sz val="9"/>
        <rFont val="Times New Roman Cyr"/>
        <family val="1"/>
      </rPr>
      <t>C</t>
    </r>
  </si>
  <si>
    <r>
      <t xml:space="preserve">               </t>
    </r>
    <r>
      <rPr>
        <sz val="10"/>
        <rFont val="Symbol"/>
        <family val="1"/>
      </rPr>
      <t xml:space="preserve"> t</t>
    </r>
    <r>
      <rPr>
        <b/>
        <sz val="9"/>
        <rFont val="Times New Roman Cyr"/>
        <family val="1"/>
      </rPr>
      <t xml:space="preserve"> роса=</t>
    </r>
  </si>
  <si>
    <r>
      <t>o</t>
    </r>
    <r>
      <rPr>
        <sz val="9"/>
        <rFont val="CourierCyr"/>
        <family val="3"/>
      </rPr>
      <t>C</t>
    </r>
  </si>
  <si>
    <t>Вывод:</t>
  </si>
  <si>
    <t xml:space="preserve">                t роса=</t>
  </si>
  <si>
    <t>Nред</t>
  </si>
  <si>
    <t>Nкол.</t>
  </si>
  <si>
    <t>&gt;Ro.тр1=</t>
  </si>
  <si>
    <t>&gt;Ro.тр2=</t>
  </si>
  <si>
    <t>&lt;Ro.тр1=</t>
  </si>
  <si>
    <t>&lt;Ro.тр2=</t>
  </si>
  <si>
    <t xml:space="preserve">    </t>
  </si>
  <si>
    <r>
      <t xml:space="preserve">но удовлетворяет требованиям СНиП II-03-79* п.2.10.  так как </t>
    </r>
    <r>
      <rPr>
        <sz val="10"/>
        <rFont val="Symbol"/>
        <family val="1"/>
      </rPr>
      <t>t</t>
    </r>
    <r>
      <rPr>
        <sz val="10"/>
        <rFont val="Times New Roman CYR"/>
        <family val="0"/>
      </rPr>
      <t>пов&gt;</t>
    </r>
    <r>
      <rPr>
        <sz val="10"/>
        <rFont val="Symbol"/>
        <family val="1"/>
      </rPr>
      <t>t</t>
    </r>
    <r>
      <rPr>
        <sz val="10"/>
        <rFont val="Times New Roman CYR"/>
        <family val="0"/>
      </rPr>
      <t>роса</t>
    </r>
  </si>
  <si>
    <t>II .  Сопротивление паропроницанию ограждающей конструкции</t>
  </si>
  <si>
    <t xml:space="preserve"> Rпо=</t>
  </si>
  <si>
    <t xml:space="preserve"> d1</t>
  </si>
  <si>
    <t>/m1</t>
  </si>
  <si>
    <t>/m2</t>
  </si>
  <si>
    <t>/m3</t>
  </si>
  <si>
    <t>/m4 +</t>
  </si>
  <si>
    <t>/m5 +</t>
  </si>
  <si>
    <t>/m6 +</t>
  </si>
  <si>
    <r>
      <t>м</t>
    </r>
    <r>
      <rPr>
        <b/>
        <vertAlign val="superscript"/>
        <sz val="8"/>
        <color indexed="8"/>
        <rFont val="Times New Roman Cyr"/>
        <family val="1"/>
      </rPr>
      <t>2</t>
    </r>
    <r>
      <rPr>
        <b/>
        <sz val="8"/>
        <color indexed="8"/>
        <rFont val="Times New Roman Cyr"/>
        <family val="1"/>
      </rPr>
      <t>.ч.Па/мг</t>
    </r>
  </si>
  <si>
    <t xml:space="preserve">  Сопротивление паропроницанию  ограждающей конструкции от внутренней пверхностьи до плоскости возможной конденсации</t>
  </si>
  <si>
    <t xml:space="preserve"> Rп=</t>
  </si>
  <si>
    <r>
      <t>м</t>
    </r>
    <r>
      <rPr>
        <b/>
        <vertAlign val="superscript"/>
        <sz val="9"/>
        <color indexed="8"/>
        <rFont val="Times New Roman Cyr"/>
        <family val="1"/>
      </rPr>
      <t>2</t>
    </r>
    <r>
      <rPr>
        <b/>
        <sz val="9"/>
        <color indexed="8"/>
        <rFont val="Times New Roman Cyr"/>
        <family val="1"/>
      </rPr>
      <t>.ч.Па/мг</t>
    </r>
  </si>
  <si>
    <t xml:space="preserve">   Сопротивление паропроницанию части ограждающей конструкции разположенной между наружной поверхностью и</t>
  </si>
  <si>
    <t>плоскостю возможной конденсации (согл. прилоложенному графику плоскость находится на наружной поверхности теплоизоляции)</t>
  </si>
  <si>
    <t xml:space="preserve"> Rп.=</t>
  </si>
  <si>
    <t xml:space="preserve"> Rп.н.=</t>
  </si>
  <si>
    <t>Среднние температуры наружного воздуха</t>
  </si>
  <si>
    <t>tян.</t>
  </si>
  <si>
    <t>tфев.</t>
  </si>
  <si>
    <t>tмар.</t>
  </si>
  <si>
    <t>tапр.</t>
  </si>
  <si>
    <t>tмаи</t>
  </si>
  <si>
    <t>tиюн</t>
  </si>
  <si>
    <t>tиюль.</t>
  </si>
  <si>
    <t>tав.</t>
  </si>
  <si>
    <t>tсеп.</t>
  </si>
  <si>
    <t>tокт.</t>
  </si>
  <si>
    <t>tнояб.</t>
  </si>
  <si>
    <t>tдек.</t>
  </si>
  <si>
    <r>
      <t>для зим.периода t1&lt;-5</t>
    </r>
    <r>
      <rPr>
        <vertAlign val="superscript"/>
        <sz val="9"/>
        <rFont val="Times New Roman Cyr"/>
        <family val="1"/>
      </rPr>
      <t>о</t>
    </r>
    <r>
      <rPr>
        <sz val="9"/>
        <rFont val="Times New Roman Cyr"/>
        <family val="1"/>
      </rPr>
      <t xml:space="preserve"> С</t>
    </r>
  </si>
  <si>
    <t>t=</t>
  </si>
  <si>
    <r>
      <t>Z</t>
    </r>
    <r>
      <rPr>
        <vertAlign val="subscript"/>
        <sz val="8"/>
        <color indexed="8"/>
        <rFont val="Times New Roman Cyr"/>
        <family val="1"/>
      </rPr>
      <t>1</t>
    </r>
    <r>
      <rPr>
        <sz val="8"/>
        <color indexed="8"/>
        <rFont val="Times New Roman Cyr"/>
        <family val="1"/>
      </rPr>
      <t>=</t>
    </r>
  </si>
  <si>
    <t>бр.мес.</t>
  </si>
  <si>
    <t>для вес.осен. пер.-5&lt;t2&lt;5</t>
  </si>
  <si>
    <r>
      <t>Z</t>
    </r>
    <r>
      <rPr>
        <vertAlign val="subscript"/>
        <sz val="8"/>
        <color indexed="8"/>
        <rFont val="Times New Roman Cyr"/>
        <family val="1"/>
      </rPr>
      <t>2</t>
    </r>
    <r>
      <rPr>
        <sz val="8"/>
        <color indexed="8"/>
        <rFont val="Times New Roman Cyr"/>
        <family val="1"/>
      </rPr>
      <t>=</t>
    </r>
  </si>
  <si>
    <t>для летнего. периода      t3&gt;+5</t>
  </si>
  <si>
    <r>
      <t>Z</t>
    </r>
    <r>
      <rPr>
        <vertAlign val="subscript"/>
        <sz val="8"/>
        <color indexed="8"/>
        <rFont val="Times New Roman Cyr"/>
        <family val="1"/>
      </rPr>
      <t>3</t>
    </r>
    <r>
      <rPr>
        <sz val="8"/>
        <color indexed="8"/>
        <rFont val="Times New Roman Cyr"/>
        <family val="1"/>
      </rPr>
      <t>=</t>
    </r>
  </si>
  <si>
    <t>для пер.с сред.темп.tо&lt;0</t>
  </si>
  <si>
    <r>
      <t>Z</t>
    </r>
    <r>
      <rPr>
        <vertAlign val="subscript"/>
        <sz val="8"/>
        <color indexed="8"/>
        <rFont val="Times New Roman Cyr"/>
        <family val="1"/>
      </rPr>
      <t>4</t>
    </r>
    <r>
      <rPr>
        <sz val="8"/>
        <color indexed="8"/>
        <rFont val="Times New Roman Cyr"/>
        <family val="1"/>
      </rPr>
      <t>=</t>
    </r>
  </si>
  <si>
    <t xml:space="preserve">   Температура и упругости водянного пара на границе слоев</t>
  </si>
  <si>
    <t>парам. внутрен. воздуха</t>
  </si>
  <si>
    <t>tв=</t>
  </si>
  <si>
    <r>
      <t>o</t>
    </r>
    <r>
      <rPr>
        <sz val="9"/>
        <color indexed="8"/>
        <rFont val="Times New Roman Cyr"/>
        <family val="1"/>
      </rPr>
      <t>C</t>
    </r>
  </si>
  <si>
    <t>j=</t>
  </si>
  <si>
    <t>Eв=</t>
  </si>
  <si>
    <t>Па</t>
  </si>
  <si>
    <t>парам. наружного воздуха</t>
  </si>
  <si>
    <t>tн=</t>
  </si>
  <si>
    <t>Eн=</t>
  </si>
  <si>
    <t>упр.пара на внут.поверх.</t>
  </si>
  <si>
    <t>ев=</t>
  </si>
  <si>
    <r>
      <t>Eв</t>
    </r>
    <r>
      <rPr>
        <sz val="9"/>
        <rFont val="Symbol"/>
        <family val="1"/>
      </rPr>
      <t>.j</t>
    </r>
    <r>
      <rPr>
        <sz val="9"/>
        <rFont val="Times New Roman Cyr"/>
        <family val="1"/>
      </rPr>
      <t>=</t>
    </r>
  </si>
  <si>
    <t>упр.на гран.слоях 1/2</t>
  </si>
  <si>
    <r>
      <t>e</t>
    </r>
    <r>
      <rPr>
        <vertAlign val="subscript"/>
        <sz val="9"/>
        <rFont val="Times New Roman Cyr"/>
        <family val="1"/>
      </rPr>
      <t>1/2</t>
    </r>
    <r>
      <rPr>
        <sz val="9"/>
        <rFont val="Times New Roman Cyr"/>
        <family val="1"/>
      </rPr>
      <t>=</t>
    </r>
  </si>
  <si>
    <r>
      <t xml:space="preserve"> {е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-(е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-е</t>
    </r>
    <r>
      <rPr>
        <vertAlign val="subscript"/>
        <sz val="9"/>
        <rFont val="Times New Roman Cyr"/>
        <family val="1"/>
      </rPr>
      <t>з</t>
    </r>
    <r>
      <rPr>
        <sz val="9"/>
        <rFont val="Times New Roman Cyr"/>
        <family val="1"/>
      </rPr>
      <t>).Rп1}/Rпo=</t>
    </r>
  </si>
  <si>
    <t>упр.на гран.слоях 2/3</t>
  </si>
  <si>
    <r>
      <t>e</t>
    </r>
    <r>
      <rPr>
        <vertAlign val="subscript"/>
        <sz val="9"/>
        <rFont val="Times New Roman Cyr"/>
        <family val="1"/>
      </rPr>
      <t>2/3</t>
    </r>
    <r>
      <rPr>
        <sz val="9"/>
        <rFont val="Times New Roman Cyr"/>
        <family val="1"/>
      </rPr>
      <t>=</t>
    </r>
  </si>
  <si>
    <r>
      <t xml:space="preserve"> {е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-(е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-е</t>
    </r>
    <r>
      <rPr>
        <vertAlign val="subscript"/>
        <sz val="9"/>
        <rFont val="Times New Roman Cyr"/>
        <family val="1"/>
      </rPr>
      <t>з</t>
    </r>
    <r>
      <rPr>
        <sz val="9"/>
        <rFont val="Times New Roman Cyr"/>
        <family val="1"/>
      </rPr>
      <t>).(Rп1+Rп2)}/Rпo=</t>
    </r>
  </si>
  <si>
    <t>упр.на гран.слоях 3/4</t>
  </si>
  <si>
    <r>
      <t>e</t>
    </r>
    <r>
      <rPr>
        <vertAlign val="subscript"/>
        <sz val="9"/>
        <rFont val="Times New Roman Cyr"/>
        <family val="1"/>
      </rPr>
      <t>3/4</t>
    </r>
    <r>
      <rPr>
        <sz val="9"/>
        <rFont val="Times New Roman Cyr"/>
        <family val="1"/>
      </rPr>
      <t>=</t>
    </r>
  </si>
  <si>
    <r>
      <t xml:space="preserve"> {е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-(е</t>
    </r>
    <r>
      <rPr>
        <vertAlign val="subscript"/>
        <sz val="9"/>
        <rFont val="Times New Roman Cyr"/>
        <family val="1"/>
      </rPr>
      <t>в</t>
    </r>
    <r>
      <rPr>
        <sz val="9"/>
        <rFont val="Times New Roman Cyr"/>
        <family val="1"/>
      </rPr>
      <t>-е</t>
    </r>
    <r>
      <rPr>
        <vertAlign val="subscript"/>
        <sz val="9"/>
        <rFont val="Times New Roman Cyr"/>
        <family val="1"/>
      </rPr>
      <t>з</t>
    </r>
    <r>
      <rPr>
        <sz val="9"/>
        <rFont val="Times New Roman Cyr"/>
        <family val="1"/>
      </rPr>
      <t>).(Rп1+Rп2+Rп3)}/Rпo=</t>
    </r>
  </si>
  <si>
    <t>упр.на гран.слоях 4/5</t>
  </si>
  <si>
    <r>
      <t>e</t>
    </r>
    <r>
      <rPr>
        <vertAlign val="subscript"/>
        <sz val="9"/>
        <rFont val="Times New Roman Cyr"/>
        <family val="1"/>
      </rPr>
      <t>4/5</t>
    </r>
    <r>
      <rPr>
        <sz val="9"/>
        <rFont val="Times New Roman Cyr"/>
        <family val="1"/>
      </rPr>
      <t>=</t>
    </r>
  </si>
  <si>
    <t xml:space="preserve"> {ев-(ев-ез).(Rп1+Rп2+Rп3+Rп4)}/Rпo=</t>
  </si>
  <si>
    <t>упр.на гран.слоях 5/6</t>
  </si>
  <si>
    <r>
      <t>e</t>
    </r>
    <r>
      <rPr>
        <vertAlign val="subscript"/>
        <sz val="9"/>
        <rFont val="Times New Roman Cyr"/>
        <family val="1"/>
      </rPr>
      <t>5/6</t>
    </r>
    <r>
      <rPr>
        <sz val="9"/>
        <rFont val="Times New Roman Cyr"/>
        <family val="1"/>
      </rPr>
      <t>=</t>
    </r>
  </si>
  <si>
    <t>{ев-(ев-ез).(Rп1+Rп2+Rп3+Rп4+Rп5)}/Rпo=</t>
  </si>
  <si>
    <t>упр.пара на наруж.поверх.</t>
  </si>
  <si>
    <r>
      <t>е</t>
    </r>
    <r>
      <rPr>
        <vertAlign val="subscript"/>
        <sz val="9"/>
        <rFont val="Times New Roman Cyr"/>
        <family val="1"/>
      </rPr>
      <t>зим</t>
    </r>
    <r>
      <rPr>
        <sz val="9"/>
        <rFont val="Times New Roman Cyr"/>
        <family val="1"/>
      </rPr>
      <t>н=</t>
    </r>
  </si>
  <si>
    <r>
      <t>Eн.</t>
    </r>
    <r>
      <rPr>
        <sz val="9"/>
        <rFont val="Symbol"/>
        <family val="1"/>
      </rPr>
      <t>j</t>
    </r>
    <r>
      <rPr>
        <sz val="9"/>
        <rFont val="Times New Roman Cyr"/>
        <family val="1"/>
      </rPr>
      <t>=</t>
    </r>
  </si>
  <si>
    <t>гр. слой</t>
  </si>
  <si>
    <t>Зима</t>
  </si>
  <si>
    <t xml:space="preserve"> Весна-осень</t>
  </si>
  <si>
    <t xml:space="preserve"> Лето</t>
  </si>
  <si>
    <t>Ср t воздуха</t>
  </si>
  <si>
    <r>
      <t>опред. E</t>
    </r>
    <r>
      <rPr>
        <vertAlign val="subscript"/>
        <sz val="8"/>
        <color indexed="8"/>
        <rFont val="Times New Roman Cyr"/>
        <family val="1"/>
      </rPr>
      <t>1</t>
    </r>
  </si>
  <si>
    <r>
      <t>опред. E</t>
    </r>
    <r>
      <rPr>
        <vertAlign val="subscript"/>
        <sz val="8"/>
        <color indexed="8"/>
        <rFont val="Times New Roman Cyr"/>
        <family val="1"/>
      </rPr>
      <t>2</t>
    </r>
  </si>
  <si>
    <r>
      <t>опред. E</t>
    </r>
    <r>
      <rPr>
        <vertAlign val="subscript"/>
        <sz val="8"/>
        <color indexed="8"/>
        <rFont val="Times New Roman Cyr"/>
        <family val="1"/>
      </rPr>
      <t>3</t>
    </r>
  </si>
  <si>
    <r>
      <t xml:space="preserve">  опред. E</t>
    </r>
    <r>
      <rPr>
        <vertAlign val="subscript"/>
        <sz val="8"/>
        <color indexed="8"/>
        <rFont val="Times New Roman Cyr"/>
        <family val="1"/>
      </rPr>
      <t>0</t>
    </r>
  </si>
  <si>
    <r>
      <t>t</t>
    </r>
    <r>
      <rPr>
        <vertAlign val="subscript"/>
        <sz val="9"/>
        <rFont val="Times New Roman Cyr"/>
        <family val="1"/>
      </rPr>
      <t xml:space="preserve">1 </t>
    </r>
    <r>
      <rPr>
        <sz val="9"/>
        <rFont val="Times New Roman Cyr"/>
        <family val="1"/>
      </rPr>
      <t>(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C)</t>
    </r>
  </si>
  <si>
    <r>
      <t>E</t>
    </r>
    <r>
      <rPr>
        <vertAlign val="subscript"/>
        <sz val="9"/>
        <color indexed="8"/>
        <rFont val="Times New Roman Cyr"/>
        <family val="1"/>
      </rPr>
      <t xml:space="preserve">1 </t>
    </r>
    <r>
      <rPr>
        <sz val="9"/>
        <color indexed="8"/>
        <rFont val="Times New Roman Cyr"/>
        <family val="1"/>
      </rPr>
      <t>(Па)</t>
    </r>
  </si>
  <si>
    <r>
      <t>e</t>
    </r>
    <r>
      <rPr>
        <vertAlign val="subscript"/>
        <sz val="9"/>
        <color indexed="8"/>
        <rFont val="Times New Roman Cyr"/>
        <family val="1"/>
      </rPr>
      <t xml:space="preserve">1 </t>
    </r>
    <r>
      <rPr>
        <sz val="9"/>
        <color indexed="8"/>
        <rFont val="Times New Roman Cyr"/>
        <family val="1"/>
      </rPr>
      <t>(Па)</t>
    </r>
  </si>
  <si>
    <r>
      <t>t</t>
    </r>
    <r>
      <rPr>
        <vertAlign val="subscript"/>
        <sz val="9"/>
        <rFont val="Times New Roman Cyr"/>
        <family val="1"/>
      </rPr>
      <t xml:space="preserve">2 </t>
    </r>
    <r>
      <rPr>
        <sz val="9"/>
        <rFont val="Times New Roman Cyr"/>
        <family val="1"/>
      </rPr>
      <t>(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C)</t>
    </r>
  </si>
  <si>
    <r>
      <t>E</t>
    </r>
    <r>
      <rPr>
        <vertAlign val="subscript"/>
        <sz val="9"/>
        <color indexed="8"/>
        <rFont val="Times New Roman Cyr"/>
        <family val="1"/>
      </rPr>
      <t xml:space="preserve">2 </t>
    </r>
    <r>
      <rPr>
        <sz val="9"/>
        <color indexed="8"/>
        <rFont val="Times New Roman Cyr"/>
        <family val="1"/>
      </rPr>
      <t>(Па)</t>
    </r>
  </si>
  <si>
    <r>
      <t>t</t>
    </r>
    <r>
      <rPr>
        <vertAlign val="subscript"/>
        <sz val="9"/>
        <rFont val="Times New Roman Cyr"/>
        <family val="1"/>
      </rPr>
      <t xml:space="preserve">3 </t>
    </r>
    <r>
      <rPr>
        <sz val="9"/>
        <rFont val="Times New Roman Cyr"/>
        <family val="1"/>
      </rPr>
      <t>(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C)</t>
    </r>
  </si>
  <si>
    <r>
      <t>E</t>
    </r>
    <r>
      <rPr>
        <vertAlign val="subscript"/>
        <sz val="9"/>
        <color indexed="8"/>
        <rFont val="Times New Roman Cyr"/>
        <family val="1"/>
      </rPr>
      <t xml:space="preserve">3 </t>
    </r>
    <r>
      <rPr>
        <sz val="9"/>
        <color indexed="8"/>
        <rFont val="Times New Roman Cyr"/>
        <family val="1"/>
      </rPr>
      <t>(Па)</t>
    </r>
  </si>
  <si>
    <r>
      <t>t</t>
    </r>
    <r>
      <rPr>
        <vertAlign val="subscript"/>
        <sz val="9"/>
        <rFont val="Times New Roman Cyr"/>
        <family val="1"/>
      </rPr>
      <t xml:space="preserve">0 </t>
    </r>
    <r>
      <rPr>
        <sz val="9"/>
        <rFont val="Times New Roman Cyr"/>
        <family val="1"/>
      </rPr>
      <t>(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C)</t>
    </r>
  </si>
  <si>
    <r>
      <t>E</t>
    </r>
    <r>
      <rPr>
        <vertAlign val="subscript"/>
        <sz val="9"/>
        <color indexed="8"/>
        <rFont val="Times New Roman Cyr"/>
        <family val="1"/>
      </rPr>
      <t xml:space="preserve">0 </t>
    </r>
    <r>
      <rPr>
        <sz val="9"/>
        <color indexed="8"/>
        <rFont val="Times New Roman Cyr"/>
        <family val="1"/>
      </rPr>
      <t>(Па)</t>
    </r>
  </si>
  <si>
    <t>редN</t>
  </si>
  <si>
    <t>колN</t>
  </si>
  <si>
    <t>tв</t>
  </si>
  <si>
    <t xml:space="preserve"> 1/2</t>
  </si>
  <si>
    <t xml:space="preserve"> 2/3</t>
  </si>
  <si>
    <t xml:space="preserve"> 3/4</t>
  </si>
  <si>
    <t xml:space="preserve"> 4/5</t>
  </si>
  <si>
    <t xml:space="preserve"> 5/6</t>
  </si>
  <si>
    <r>
      <t>t</t>
    </r>
    <r>
      <rPr>
        <sz val="8"/>
        <rFont val="Times New Roman Cyr"/>
        <family val="1"/>
      </rPr>
      <t>н</t>
    </r>
  </si>
  <si>
    <t>tн</t>
  </si>
  <si>
    <r>
      <t xml:space="preserve">   Упругость водянного пара в плоскости возможной конденсации при ср. темпер. наружного воздуха месцев с tср&lt;0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</t>
    </r>
  </si>
  <si>
    <t>увлажняемый слой -</t>
  </si>
  <si>
    <t>сл. N</t>
  </si>
  <si>
    <t xml:space="preserve">     -</t>
  </si>
  <si>
    <t>Eo=</t>
  </si>
  <si>
    <t xml:space="preserve">   Упругость водянного пара в плоскости возможной конденсации за годовой период</t>
  </si>
  <si>
    <t>E=</t>
  </si>
  <si>
    <r>
      <t xml:space="preserve"> 1/12</t>
    </r>
    <r>
      <rPr>
        <sz val="8"/>
        <color indexed="12"/>
        <rFont val="Times New Roman Cyr"/>
        <family val="1"/>
      </rPr>
      <t>(</t>
    </r>
  </si>
  <si>
    <t>E1  *</t>
  </si>
  <si>
    <t>Z1  +</t>
  </si>
  <si>
    <t>E2  *</t>
  </si>
  <si>
    <t>Z2  +</t>
  </si>
  <si>
    <t>E3  *</t>
  </si>
  <si>
    <t>Z3  ) =</t>
  </si>
  <si>
    <r>
      <t>Е=</t>
    </r>
    <r>
      <rPr>
        <u val="single"/>
        <sz val="9"/>
        <rFont val="Times New Roman Cyr"/>
        <family val="1"/>
      </rPr>
      <t>Е1.Z1+E2.Z2+E3.Z3</t>
    </r>
    <r>
      <rPr>
        <sz val="9"/>
        <rFont val="Times New Roman Cyr"/>
        <family val="1"/>
      </rPr>
      <t>=</t>
    </r>
  </si>
  <si>
    <t>(</t>
  </si>
  <si>
    <t>.</t>
  </si>
  <si>
    <t xml:space="preserve">  +  </t>
  </si>
  <si>
    <r>
      <t>)</t>
    </r>
    <r>
      <rPr>
        <sz val="16"/>
        <rFont val="Times New Roman Cyr"/>
        <family val="1"/>
      </rPr>
      <t>.</t>
    </r>
    <r>
      <rPr>
        <sz val="10"/>
        <rFont val="Times New Roman CYR"/>
        <family val="1"/>
      </rPr>
      <t>0.0833</t>
    </r>
  </si>
  <si>
    <t xml:space="preserve">    E=0,083.(</t>
  </si>
  <si>
    <t xml:space="preserve">   +  </t>
  </si>
  <si>
    <t>)=</t>
  </si>
  <si>
    <t xml:space="preserve">   Средная  упругость водянного пара наружного воздуха за годовой период - ен (СНиП 2.01.01-82, пр.3)</t>
  </si>
  <si>
    <r>
      <t>е</t>
    </r>
    <r>
      <rPr>
        <sz val="8"/>
        <rFont val="Times New Roman Cyr"/>
        <family val="1"/>
      </rPr>
      <t>ян.</t>
    </r>
  </si>
  <si>
    <r>
      <t>е</t>
    </r>
    <r>
      <rPr>
        <sz val="8"/>
        <rFont val="Times New Roman Cyr"/>
        <family val="1"/>
      </rPr>
      <t>фев.</t>
    </r>
  </si>
  <si>
    <r>
      <t>е</t>
    </r>
    <r>
      <rPr>
        <sz val="8"/>
        <rFont val="Times New Roman Cyr"/>
        <family val="1"/>
      </rPr>
      <t>мар.</t>
    </r>
  </si>
  <si>
    <r>
      <t>е</t>
    </r>
    <r>
      <rPr>
        <sz val="8"/>
        <rFont val="Times New Roman Cyr"/>
        <family val="1"/>
      </rPr>
      <t>апр.</t>
    </r>
  </si>
  <si>
    <r>
      <t>е</t>
    </r>
    <r>
      <rPr>
        <sz val="8"/>
        <rFont val="Times New Roman Cyr"/>
        <family val="1"/>
      </rPr>
      <t>маи</t>
    </r>
  </si>
  <si>
    <r>
      <t>е</t>
    </r>
    <r>
      <rPr>
        <sz val="8"/>
        <rFont val="Times New Roman Cyr"/>
        <family val="1"/>
      </rPr>
      <t>юн.</t>
    </r>
  </si>
  <si>
    <r>
      <t>е</t>
    </r>
    <r>
      <rPr>
        <sz val="8"/>
        <rFont val="Times New Roman Cyr"/>
        <family val="1"/>
      </rPr>
      <t>юл.</t>
    </r>
  </si>
  <si>
    <r>
      <t>е</t>
    </r>
    <r>
      <rPr>
        <sz val="8"/>
        <rFont val="Times New Roman Cyr"/>
        <family val="1"/>
      </rPr>
      <t>ав.</t>
    </r>
  </si>
  <si>
    <r>
      <t>е</t>
    </r>
    <r>
      <rPr>
        <sz val="8"/>
        <rFont val="Times New Roman Cyr"/>
        <family val="1"/>
      </rPr>
      <t>сеп.</t>
    </r>
  </si>
  <si>
    <r>
      <t>е</t>
    </r>
    <r>
      <rPr>
        <sz val="8"/>
        <rFont val="Times New Roman Cyr"/>
        <family val="1"/>
      </rPr>
      <t>окт.</t>
    </r>
  </si>
  <si>
    <r>
      <t>е</t>
    </r>
    <r>
      <rPr>
        <sz val="8"/>
        <rFont val="Times New Roman Cyr"/>
        <family val="1"/>
      </rPr>
      <t>нояб.</t>
    </r>
  </si>
  <si>
    <r>
      <t>е</t>
    </r>
    <r>
      <rPr>
        <sz val="8"/>
        <rFont val="Times New Roman Cyr"/>
        <family val="1"/>
      </rPr>
      <t>дек.</t>
    </r>
  </si>
  <si>
    <t xml:space="preserve">   Сред.год. упругость  ен=1/12(еян.+ефев.+емар.+еапр.+емаи+еюн.+еюл.+еав.+есеп.+еокт.+ен.+едек.) =</t>
  </si>
  <si>
    <t xml:space="preserve">   Средная  упругость водянного пара наружного воздуха периода месяцев с отрицательнымитемпературами - ен.о. </t>
  </si>
  <si>
    <t xml:space="preserve">   Сред. упруг. при tн&lt;0   </t>
  </si>
  <si>
    <r>
      <t>е</t>
    </r>
    <r>
      <rPr>
        <sz val="9"/>
        <rFont val="Times New Roman Cyr"/>
        <family val="1"/>
      </rPr>
      <t>нo=</t>
    </r>
  </si>
  <si>
    <t xml:space="preserve">    Требуемое сопротивление паропроницанию из условия недопустимости накопления влаги за годовой период эксплуатации</t>
  </si>
  <si>
    <r>
      <t xml:space="preserve"> R</t>
    </r>
    <r>
      <rPr>
        <sz val="9"/>
        <rFont val="Times New Roman Cyr"/>
        <family val="1"/>
      </rPr>
      <t>п1</t>
    </r>
    <r>
      <rPr>
        <b/>
        <vertAlign val="superscript"/>
        <sz val="9"/>
        <rFont val="Times New Roman Cyr"/>
        <family val="1"/>
      </rPr>
      <t>тр</t>
    </r>
    <r>
      <rPr>
        <b/>
        <sz val="9"/>
        <rFont val="Times New Roman Cyr"/>
        <family val="1"/>
      </rPr>
      <t>=</t>
    </r>
  </si>
  <si>
    <r>
      <t>[(е</t>
    </r>
    <r>
      <rPr>
        <vertAlign val="subscript"/>
        <sz val="10"/>
        <rFont val="Times New Roman Cyr"/>
        <family val="1"/>
      </rPr>
      <t>в</t>
    </r>
    <r>
      <rPr>
        <sz val="9"/>
        <rFont val="Times New Roman Cyr"/>
        <family val="1"/>
      </rPr>
      <t>-Е)R</t>
    </r>
    <r>
      <rPr>
        <sz val="10"/>
        <rFont val="Times New Roman CYR"/>
        <family val="1"/>
      </rPr>
      <t>пн</t>
    </r>
    <r>
      <rPr>
        <sz val="9"/>
        <rFont val="Times New Roman Cyr"/>
        <family val="1"/>
      </rPr>
      <t>]</t>
    </r>
    <r>
      <rPr>
        <b/>
        <sz val="9"/>
        <rFont val="Times New Roman Cyr"/>
        <family val="1"/>
      </rPr>
      <t>:</t>
    </r>
    <r>
      <rPr>
        <sz val="9"/>
        <rFont val="Times New Roman Cyr"/>
        <family val="1"/>
      </rPr>
      <t>(Е-</t>
    </r>
    <r>
      <rPr>
        <sz val="12"/>
        <rFont val="Times New Roman CYR"/>
        <family val="1"/>
      </rPr>
      <t>е</t>
    </r>
    <r>
      <rPr>
        <vertAlign val="subscript"/>
        <sz val="10"/>
        <rFont val="Times New Roman Cyr"/>
        <family val="1"/>
      </rPr>
      <t>н</t>
    </r>
    <r>
      <rPr>
        <sz val="9"/>
        <rFont val="Times New Roman Cyr"/>
        <family val="1"/>
      </rPr>
      <t>)=</t>
    </r>
  </si>
  <si>
    <t>где</t>
  </si>
  <si>
    <t>Па      ,</t>
  </si>
  <si>
    <t xml:space="preserve">   Е=</t>
  </si>
  <si>
    <t xml:space="preserve">   Rпн=</t>
  </si>
  <si>
    <t>м2.ч.Па/мг</t>
  </si>
  <si>
    <r>
      <t xml:space="preserve">       е</t>
    </r>
    <r>
      <rPr>
        <vertAlign val="subscript"/>
        <sz val="9"/>
        <rFont val="Times New Roman Cyr"/>
        <family val="1"/>
      </rPr>
      <t>н</t>
    </r>
    <r>
      <rPr>
        <sz val="9"/>
        <rFont val="Times New Roman Cyr"/>
        <family val="1"/>
      </rPr>
      <t>=</t>
    </r>
  </si>
  <si>
    <t xml:space="preserve">Па    </t>
  </si>
  <si>
    <t xml:space="preserve">    Требуемое сопротивление паропроницанию из условия ограничения влаги в ограждающих конструкциях за  периоде отрицательными температурами наружного воздуха</t>
  </si>
  <si>
    <r>
      <t xml:space="preserve"> R</t>
    </r>
    <r>
      <rPr>
        <sz val="9"/>
        <rFont val="Times New Roman Cyr"/>
        <family val="1"/>
      </rPr>
      <t>п2</t>
    </r>
    <r>
      <rPr>
        <b/>
        <vertAlign val="superscript"/>
        <sz val="9"/>
        <rFont val="Times New Roman Cyr"/>
        <family val="1"/>
      </rPr>
      <t>тр</t>
    </r>
    <r>
      <rPr>
        <b/>
        <sz val="9"/>
        <rFont val="Times New Roman Cyr"/>
        <family val="1"/>
      </rPr>
      <t>=</t>
    </r>
  </si>
  <si>
    <t xml:space="preserve">где </t>
  </si>
  <si>
    <r>
      <t>z</t>
    </r>
    <r>
      <rPr>
        <vertAlign val="subscript"/>
        <sz val="10"/>
        <rFont val="Times New Roman Cyr"/>
        <family val="1"/>
      </rPr>
      <t>o</t>
    </r>
    <r>
      <rPr>
        <sz val="10"/>
        <rFont val="Times New Roman CYR"/>
        <family val="1"/>
      </rPr>
      <t>=</t>
    </r>
  </si>
  <si>
    <t>дня -продолжительность сут. периода влагонакопления, равной периоду с отрицат. среднемес.температ.нар. воздуха</t>
  </si>
  <si>
    <r>
      <t>g</t>
    </r>
    <r>
      <rPr>
        <vertAlign val="subscript"/>
        <sz val="10"/>
        <rFont val="Times New Roman Cyr"/>
        <family val="1"/>
      </rPr>
      <t>w</t>
    </r>
    <r>
      <rPr>
        <sz val="10"/>
        <rFont val="Times New Roman CYR"/>
        <family val="1"/>
      </rPr>
      <t>=</t>
    </r>
  </si>
  <si>
    <t xml:space="preserve"> -плотность материала увлажняемого слоя (кг/м3)</t>
  </si>
  <si>
    <r>
      <t>d</t>
    </r>
    <r>
      <rPr>
        <vertAlign val="subscript"/>
        <sz val="10"/>
        <rFont val="Times New Roman Cyr"/>
        <family val="1"/>
      </rPr>
      <t>w</t>
    </r>
    <r>
      <rPr>
        <sz val="10"/>
        <rFont val="Times New Roman CYR"/>
        <family val="1"/>
      </rPr>
      <t>=</t>
    </r>
  </si>
  <si>
    <t xml:space="preserve"> -толщина увлажняемого  слоя ограждающей конструкции  (м)</t>
  </si>
  <si>
    <r>
      <t>D</t>
    </r>
    <r>
      <rPr>
        <vertAlign val="subscript"/>
        <sz val="10"/>
        <rFont val="Times New Roman Cyr"/>
        <family val="1"/>
      </rPr>
      <t>w</t>
    </r>
    <r>
      <rPr>
        <sz val="10"/>
        <rFont val="Times New Roman CYR"/>
        <family val="1"/>
      </rPr>
      <t>=</t>
    </r>
  </si>
  <si>
    <r>
      <t xml:space="preserve"> -предельно допустимое приращение влаги в материале увлажняемого слоя за период влагонакопления z</t>
    </r>
    <r>
      <rPr>
        <vertAlign val="subscript"/>
        <sz val="9"/>
        <rFont val="Times New Roman Cyr"/>
        <family val="1"/>
      </rPr>
      <t>o</t>
    </r>
    <r>
      <rPr>
        <sz val="9"/>
        <rFont val="Times New Roman Cyr"/>
        <family val="1"/>
      </rPr>
      <t>(по табл. 14*)</t>
    </r>
  </si>
  <si>
    <t>h-</t>
  </si>
  <si>
    <t>определяется по формуле</t>
  </si>
  <si>
    <t>h=</t>
  </si>
  <si>
    <r>
      <t xml:space="preserve"> </t>
    </r>
    <r>
      <rPr>
        <sz val="12"/>
        <rFont val="Times New Roman CYR"/>
        <family val="1"/>
      </rPr>
      <t xml:space="preserve">   e</t>
    </r>
    <r>
      <rPr>
        <sz val="9"/>
        <rFont val="Times New Roman Cyr"/>
        <family val="1"/>
      </rPr>
      <t>н.о</t>
    </r>
    <r>
      <rPr>
        <sz val="10"/>
        <rFont val="Times New Roman CYR"/>
        <family val="1"/>
      </rPr>
      <t>.=</t>
    </r>
  </si>
  <si>
    <t xml:space="preserve">ред N </t>
  </si>
  <si>
    <t>ред N Rп1тр</t>
  </si>
  <si>
    <t>ред N Rп2тр</t>
  </si>
  <si>
    <t>&gt;</t>
  </si>
  <si>
    <r>
      <t xml:space="preserve">  Rп1</t>
    </r>
    <r>
      <rPr>
        <b/>
        <vertAlign val="superscript"/>
        <sz val="9"/>
        <rFont val="Times New Roman Cyr"/>
        <family val="1"/>
      </rPr>
      <t xml:space="preserve">тр    </t>
    </r>
    <r>
      <rPr>
        <b/>
        <sz val="9"/>
        <rFont val="Times New Roman Cyr"/>
        <family val="1"/>
      </rPr>
      <t>=</t>
    </r>
  </si>
  <si>
    <r>
      <t>Замечание: Согласно "Пособие  к СНиП II-03-79* ", eсли Rп</t>
    </r>
    <r>
      <rPr>
        <vertAlign val="superscript"/>
        <sz val="9"/>
        <rFont val="Times New Roman Cyr"/>
        <family val="1"/>
      </rPr>
      <t>тр</t>
    </r>
    <r>
      <rPr>
        <sz val="9"/>
        <rFont val="Times New Roman Cyr"/>
        <family val="1"/>
      </rPr>
      <t xml:space="preserve"> &gt;5, надо принят Rп</t>
    </r>
    <r>
      <rPr>
        <vertAlign val="superscript"/>
        <sz val="9"/>
        <rFont val="Times New Roman Cyr"/>
        <family val="1"/>
      </rPr>
      <t>тр</t>
    </r>
    <r>
      <rPr>
        <sz val="9"/>
        <rFont val="Times New Roman Cyr"/>
        <family val="1"/>
      </rPr>
      <t xml:space="preserve"> =5</t>
    </r>
  </si>
  <si>
    <t>&lt;</t>
  </si>
  <si>
    <r>
      <t xml:space="preserve">  R</t>
    </r>
    <r>
      <rPr>
        <sz val="9"/>
        <rFont val="Times New Roman Cyr"/>
        <family val="1"/>
      </rPr>
      <t>п2</t>
    </r>
    <r>
      <rPr>
        <b/>
        <vertAlign val="superscript"/>
        <sz val="9"/>
        <rFont val="Times New Roman Cyr"/>
        <family val="1"/>
      </rPr>
      <t xml:space="preserve">тр     </t>
    </r>
    <r>
      <rPr>
        <b/>
        <sz val="9"/>
        <rFont val="Times New Roman Cyr"/>
        <family val="1"/>
      </rPr>
      <t>=</t>
    </r>
  </si>
  <si>
    <t xml:space="preserve"> III . Теплоустойчивость ограждающих конструкций</t>
  </si>
  <si>
    <t>1.</t>
  </si>
  <si>
    <r>
      <t xml:space="preserve">       Расчет делается когда средномесечная темперятура Июля 21 </t>
    </r>
    <r>
      <rPr>
        <vertAlign val="superscript"/>
        <sz val="10"/>
        <rFont val="Times New Roman Cyr"/>
        <family val="0"/>
      </rPr>
      <t>о</t>
    </r>
    <r>
      <rPr>
        <sz val="10"/>
        <rFont val="Times New Roman CYR"/>
        <family val="0"/>
      </rPr>
      <t>С и выше и тепловая инерция менее 4(нар. стен) и менее 5(покр.)</t>
    </r>
  </si>
  <si>
    <t>1. Средномесечная темперятура Июля    tср=</t>
  </si>
  <si>
    <r>
      <t>o</t>
    </r>
    <r>
      <rPr>
        <sz val="9"/>
        <color indexed="8"/>
        <rFont val="Times New Roman Cyr"/>
        <family val="0"/>
      </rPr>
      <t>C</t>
    </r>
  </si>
  <si>
    <t>2.  Тепловая инерция                                    D=</t>
  </si>
  <si>
    <t>3. Требуемуя амплитуда температуры внутренней поверхности ограждающих конструкций :</t>
  </si>
  <si>
    <r>
      <t>A</t>
    </r>
    <r>
      <rPr>
        <b/>
        <vertAlign val="subscript"/>
        <sz val="11"/>
        <rFont val="Times New Roman Cyr"/>
        <family val="1"/>
      </rPr>
      <t>t</t>
    </r>
    <r>
      <rPr>
        <b/>
        <vertAlign val="subscript"/>
        <sz val="8"/>
        <rFont val="Times New Roman CYR"/>
        <family val="1"/>
      </rPr>
      <t>B</t>
    </r>
    <r>
      <rPr>
        <b/>
        <vertAlign val="superscript"/>
        <sz val="10"/>
        <rFont val="Times New Roman Cyr"/>
        <family val="1"/>
      </rPr>
      <t>тр</t>
    </r>
    <r>
      <rPr>
        <b/>
        <sz val="10"/>
        <rFont val="Times New Roman CYR"/>
        <family val="1"/>
      </rPr>
      <t>=</t>
    </r>
  </si>
  <si>
    <t>2.5 - 0.1(tн - 21)=</t>
  </si>
  <si>
    <r>
      <t>o</t>
    </r>
    <r>
      <rPr>
        <b/>
        <sz val="9"/>
        <color indexed="8"/>
        <rFont val="Times New Roman Cyr"/>
        <family val="0"/>
      </rPr>
      <t>C</t>
    </r>
  </si>
  <si>
    <t>4. Расчетная амплитуда колебаний температуры наружного воздуха :</t>
  </si>
  <si>
    <r>
      <t>А</t>
    </r>
    <r>
      <rPr>
        <vertAlign val="subscript"/>
        <sz val="10"/>
        <rFont val="Times New Roman Cyr"/>
        <family val="1"/>
      </rPr>
      <t>tн</t>
    </r>
    <r>
      <rPr>
        <vertAlign val="superscript"/>
        <sz val="10"/>
        <rFont val="Times New Roman CYR"/>
        <family val="1"/>
      </rPr>
      <t>рас</t>
    </r>
    <r>
      <rPr>
        <sz val="10"/>
        <rFont val="Symbol"/>
        <family val="1"/>
      </rPr>
      <t>=</t>
    </r>
  </si>
  <si>
    <r>
      <t>0.5А</t>
    </r>
    <r>
      <rPr>
        <vertAlign val="subscript"/>
        <sz val="10"/>
        <rFont val="Times New Roman Cyr"/>
        <family val="1"/>
      </rPr>
      <t>tн</t>
    </r>
    <r>
      <rPr>
        <sz val="10"/>
        <rFont val="Times New Roman CYR"/>
        <family val="1"/>
      </rPr>
      <t>+</t>
    </r>
    <r>
      <rPr>
        <sz val="10"/>
        <rFont val="Symbol"/>
        <family val="1"/>
      </rPr>
      <t xml:space="preserve">r </t>
    </r>
    <r>
      <rPr>
        <sz val="10"/>
        <rFont val="Times New Roman CYR"/>
        <family val="1"/>
      </rPr>
      <t>(Imax-Iср</t>
    </r>
    <r>
      <rPr>
        <sz val="10"/>
        <rFont val="MS Sans Serif"/>
        <family val="0"/>
      </rPr>
      <t>)/</t>
    </r>
    <r>
      <rPr>
        <sz val="10"/>
        <rFont val="Symbol"/>
        <family val="1"/>
      </rPr>
      <t>a</t>
    </r>
    <r>
      <rPr>
        <vertAlign val="subscript"/>
        <sz val="10"/>
        <rFont val="Times New Roman Cyr"/>
        <family val="1"/>
      </rPr>
      <t>н</t>
    </r>
    <r>
      <rPr>
        <sz val="10"/>
        <rFont val="MS Sans Serif"/>
        <family val="2"/>
      </rPr>
      <t>=</t>
    </r>
  </si>
  <si>
    <t>Коеф.поглощения</t>
  </si>
  <si>
    <r>
      <t>А</t>
    </r>
    <r>
      <rPr>
        <vertAlign val="subscript"/>
        <sz val="10"/>
        <rFont val="Times New Roman Cyr"/>
        <family val="1"/>
      </rPr>
      <t>tн</t>
    </r>
    <r>
      <rPr>
        <sz val="10"/>
        <rFont val="Symbol"/>
        <family val="1"/>
      </rPr>
      <t>=</t>
    </r>
  </si>
  <si>
    <t>r=</t>
  </si>
  <si>
    <t>солн. радиации</t>
  </si>
  <si>
    <t>Imax=</t>
  </si>
  <si>
    <r>
      <t>Вт/м</t>
    </r>
    <r>
      <rPr>
        <vertAlign val="superscript"/>
        <sz val="10"/>
        <rFont val="Times New Roman CYR"/>
        <family val="1"/>
      </rPr>
      <t>2</t>
    </r>
  </si>
  <si>
    <t>Iср=</t>
  </si>
  <si>
    <t>N r=</t>
  </si>
  <si>
    <t>скорост ветра за Июль  v=</t>
  </si>
  <si>
    <t>м/сек</t>
  </si>
  <si>
    <r>
      <t>a</t>
    </r>
    <r>
      <rPr>
        <sz val="9"/>
        <rFont val="Times New Roman Cyr"/>
        <family val="1"/>
      </rPr>
      <t>н=</t>
    </r>
  </si>
  <si>
    <t xml:space="preserve"> r=</t>
  </si>
  <si>
    <t>5. Амплитуда  колебаний температуры внутренней поверхности ограждающих конструкций :</t>
  </si>
  <si>
    <r>
      <t>A</t>
    </r>
    <r>
      <rPr>
        <b/>
        <vertAlign val="subscript"/>
        <sz val="11"/>
        <rFont val="Times New Roman Cyr"/>
        <family val="1"/>
      </rPr>
      <t>t</t>
    </r>
    <r>
      <rPr>
        <b/>
        <vertAlign val="subscript"/>
        <sz val="8"/>
        <rFont val="Times New Roman CYR"/>
        <family val="1"/>
      </rPr>
      <t>B</t>
    </r>
    <r>
      <rPr>
        <b/>
        <sz val="10"/>
        <rFont val="Times New Roman CYR"/>
        <family val="1"/>
      </rPr>
      <t>=</t>
    </r>
  </si>
  <si>
    <r>
      <t>At</t>
    </r>
    <r>
      <rPr>
        <vertAlign val="subscript"/>
        <sz val="10"/>
        <rFont val="Times New Roman Cyr"/>
        <family val="1"/>
      </rPr>
      <t>н</t>
    </r>
    <r>
      <rPr>
        <vertAlign val="superscript"/>
        <sz val="10"/>
        <rFont val="Times New Roman CYR"/>
        <family val="1"/>
      </rPr>
      <t>разч</t>
    </r>
    <r>
      <rPr>
        <sz val="10"/>
        <rFont val="Times New Roman CYR"/>
        <family val="1"/>
      </rPr>
      <t>/v=</t>
    </r>
  </si>
  <si>
    <t>нар.стен</t>
  </si>
  <si>
    <t>покр.</t>
  </si>
  <si>
    <t xml:space="preserve">      Затухание расчетная  амплитуда -</t>
  </si>
  <si>
    <r>
      <t>n</t>
    </r>
    <r>
      <rPr>
        <sz val="10"/>
        <rFont val="MS Sans Serif"/>
        <family val="0"/>
      </rPr>
      <t>=</t>
    </r>
  </si>
  <si>
    <t>Поэлементная тепловая инерция</t>
  </si>
  <si>
    <t>d</t>
  </si>
  <si>
    <t>R</t>
  </si>
  <si>
    <t>D</t>
  </si>
  <si>
    <t>D1+Dn</t>
  </si>
  <si>
    <t>Y</t>
  </si>
  <si>
    <t>мм</t>
  </si>
  <si>
    <r>
      <t>Вт/(м</t>
    </r>
    <r>
      <rPr>
        <vertAlign val="superscript"/>
        <sz val="9"/>
        <color indexed="8"/>
        <rFont val="Times New Roman Cyr"/>
        <family val="1"/>
      </rPr>
      <t>2</t>
    </r>
    <r>
      <rPr>
        <sz val="9"/>
        <color indexed="8"/>
        <rFont val="Times New Roman Cyr"/>
        <family val="1"/>
      </rPr>
      <t>.</t>
    </r>
    <r>
      <rPr>
        <vertAlign val="superscript"/>
        <sz val="9"/>
        <color indexed="8"/>
        <rFont val="Times New Roman Cyr"/>
        <family val="1"/>
      </rPr>
      <t>o</t>
    </r>
    <r>
      <rPr>
        <sz val="9"/>
        <color indexed="8"/>
        <rFont val="Times New Roman Cyr"/>
        <family val="1"/>
      </rPr>
      <t>C)</t>
    </r>
  </si>
  <si>
    <r>
      <t>m</t>
    </r>
    <r>
      <rPr>
        <vertAlign val="superscript"/>
        <sz val="9"/>
        <rFont val="Times New Roman Cyr"/>
        <family val="1"/>
      </rPr>
      <t>2</t>
    </r>
    <r>
      <rPr>
        <sz val="9"/>
        <rFont val="Times New Roman Cyr"/>
        <family val="1"/>
      </rPr>
      <t>.</t>
    </r>
    <r>
      <rPr>
        <vertAlign val="superscript"/>
        <sz val="9"/>
        <rFont val="Times New Roman Cyr"/>
        <family val="1"/>
      </rPr>
      <t>o</t>
    </r>
    <r>
      <rPr>
        <sz val="9"/>
        <rFont val="Times New Roman Cyr"/>
        <family val="1"/>
      </rPr>
      <t>C/W</t>
    </r>
  </si>
  <si>
    <t/>
  </si>
  <si>
    <t xml:space="preserve">Коеф. теплоусвоение слоя "n" </t>
  </si>
  <si>
    <t>Yn=</t>
  </si>
  <si>
    <t>Затухание расч. амплитуды</t>
  </si>
  <si>
    <r>
      <t>n</t>
    </r>
    <r>
      <rPr>
        <b/>
        <sz val="10"/>
        <rFont val="MS Sans Serif"/>
        <family val="0"/>
      </rPr>
      <t>=</t>
    </r>
  </si>
  <si>
    <t>Y1=</t>
  </si>
  <si>
    <t>Затухание когда "n"=1</t>
  </si>
  <si>
    <t>Y2=</t>
  </si>
  <si>
    <t>Затухание когда "n"=2</t>
  </si>
  <si>
    <t>Y3=</t>
  </si>
  <si>
    <t>Затухание когда "n"=3</t>
  </si>
  <si>
    <t>Y4=</t>
  </si>
  <si>
    <t>Затухание когда "n"=4</t>
  </si>
  <si>
    <t>Y5=</t>
  </si>
  <si>
    <t>Затухание когда "n"=5</t>
  </si>
  <si>
    <t>Y6=</t>
  </si>
  <si>
    <t>Затухание когда "n"=6</t>
  </si>
  <si>
    <r>
      <t>A</t>
    </r>
    <r>
      <rPr>
        <b/>
        <vertAlign val="subscript"/>
        <sz val="10"/>
        <rFont val="Times New Roman Cyr"/>
        <family val="0"/>
      </rPr>
      <t>ta</t>
    </r>
    <r>
      <rPr>
        <b/>
        <vertAlign val="superscript"/>
        <sz val="10"/>
        <rFont val="Times New Roman Cyr"/>
        <family val="0"/>
      </rPr>
      <t>тр</t>
    </r>
    <r>
      <rPr>
        <b/>
        <sz val="10"/>
        <rFont val="Times New Roman CYR"/>
        <family val="0"/>
      </rPr>
      <t>=</t>
    </r>
  </si>
  <si>
    <t>N ред</t>
  </si>
  <si>
    <t xml:space="preserve">Изготовил:             </t>
  </si>
  <si>
    <t>Следовательно ограждающая конструция удовлетворяет требования СНиП II-03-79* , п.5.1.  так как:</t>
  </si>
  <si>
    <r>
      <t>&gt;A</t>
    </r>
    <r>
      <rPr>
        <b/>
        <vertAlign val="subscript"/>
        <sz val="11"/>
        <rFont val="Times New Roman Cyr"/>
        <family val="1"/>
      </rPr>
      <t>t</t>
    </r>
    <r>
      <rPr>
        <b/>
        <vertAlign val="subscript"/>
        <sz val="8"/>
        <rFont val="Times New Roman CYR"/>
        <family val="1"/>
      </rPr>
      <t>B</t>
    </r>
    <r>
      <rPr>
        <b/>
        <sz val="10"/>
        <rFont val="Times New Roman CYR"/>
        <family val="1"/>
      </rPr>
      <t>=</t>
    </r>
  </si>
  <si>
    <t>Следовательно ограждающая конструция  не удовлетворяет требования СНиП II-03-79* , п.5.1.  так как:</t>
  </si>
  <si>
    <r>
      <t>&lt;A</t>
    </r>
    <r>
      <rPr>
        <b/>
        <vertAlign val="subscript"/>
        <sz val="11"/>
        <rFont val="Times New Roman Cyr"/>
        <family val="1"/>
      </rPr>
      <t>t</t>
    </r>
    <r>
      <rPr>
        <b/>
        <vertAlign val="subscript"/>
        <sz val="8"/>
        <rFont val="Times New Roman CYR"/>
        <family val="1"/>
      </rPr>
      <t>B</t>
    </r>
    <r>
      <rPr>
        <b/>
        <sz val="10"/>
        <rFont val="Times New Roman CYR"/>
        <family val="1"/>
      </rPr>
      <t>=</t>
    </r>
  </si>
  <si>
    <t>n</t>
  </si>
  <si>
    <t xml:space="preserve"> III . Теплоусвоение поверхности полов.</t>
  </si>
  <si>
    <t>Требуемый показатель теплоусвоения СНиП II-03-79* таб- 11</t>
  </si>
  <si>
    <t xml:space="preserve">1. Требуемый показатель теплоусвоения-таб. 11*      </t>
  </si>
  <si>
    <t>1.Здания жилые,болниц,диспанс. учебных зданий</t>
  </si>
  <si>
    <t xml:space="preserve">Вид здания              </t>
  </si>
  <si>
    <t xml:space="preserve">2.Общественные здания </t>
  </si>
  <si>
    <t xml:space="preserve">3.Производств.  здания </t>
  </si>
  <si>
    <r>
      <t>Yп</t>
    </r>
    <r>
      <rPr>
        <b/>
        <vertAlign val="superscript"/>
        <sz val="10"/>
        <rFont val="Times New Roman Cyr"/>
        <family val="1"/>
      </rPr>
      <t>н</t>
    </r>
    <r>
      <rPr>
        <b/>
        <sz val="10"/>
        <rFont val="Times New Roman CYR"/>
        <family val="1"/>
      </rPr>
      <t>=</t>
    </r>
  </si>
  <si>
    <r>
      <t>Вт/(м</t>
    </r>
    <r>
      <rPr>
        <b/>
        <vertAlign val="superscript"/>
        <sz val="9"/>
        <color indexed="8"/>
        <rFont val="Times New Roman Cyr"/>
        <family val="0"/>
      </rPr>
      <t>2</t>
    </r>
    <r>
      <rPr>
        <b/>
        <sz val="9"/>
        <color indexed="8"/>
        <rFont val="Times New Roman Cyr"/>
        <family val="0"/>
      </rPr>
      <t>.</t>
    </r>
    <r>
      <rPr>
        <b/>
        <vertAlign val="superscript"/>
        <sz val="9"/>
        <color indexed="8"/>
        <rFont val="Times New Roman Cyr"/>
        <family val="0"/>
      </rPr>
      <t>o</t>
    </r>
    <r>
      <rPr>
        <b/>
        <sz val="9"/>
        <color indexed="8"/>
        <rFont val="Times New Roman Cyr"/>
        <family val="0"/>
      </rPr>
      <t>C)</t>
    </r>
  </si>
  <si>
    <t>d1+d2</t>
  </si>
  <si>
    <t>d1+d2+d3</t>
  </si>
  <si>
    <t>d1+d2+d3+d4</t>
  </si>
  <si>
    <t>d1+d2+d3+d4+d5</t>
  </si>
  <si>
    <t>d1+d2+d3+d4+d5+d6</t>
  </si>
  <si>
    <t>2.Показатель  теплоусвоение поверхности пола</t>
  </si>
  <si>
    <t>определение Nr слоя "n+1"</t>
  </si>
  <si>
    <r>
      <t>D1+D</t>
    </r>
    <r>
      <rPr>
        <sz val="9"/>
        <rFont val="Times New Roman Cyr"/>
        <family val="1"/>
      </rPr>
      <t>2</t>
    </r>
    <r>
      <rPr>
        <sz val="9"/>
        <rFont val="MS Sans Serif"/>
        <family val="0"/>
      </rPr>
      <t>+Di</t>
    </r>
  </si>
  <si>
    <t>Yi=</t>
  </si>
  <si>
    <t>Показатель  теплоусвоение слоя "n"  -Yn=</t>
  </si>
  <si>
    <t xml:space="preserve"> "n" =1</t>
  </si>
  <si>
    <t xml:space="preserve"> "n" =2</t>
  </si>
  <si>
    <t xml:space="preserve"> "n" =3</t>
  </si>
  <si>
    <t xml:space="preserve"> "n" =4</t>
  </si>
  <si>
    <t xml:space="preserve"> "n" =5</t>
  </si>
  <si>
    <t>при "n+1" =5</t>
  </si>
  <si>
    <t>Показатель  теплоусвоение слоя Nr4  -Y4=</t>
  </si>
  <si>
    <t>Показатель  теплоусвоение слоя Nr3  -Y3=</t>
  </si>
  <si>
    <t>Показатель  теплоусвоение слоя Nr2  -Y2=</t>
  </si>
  <si>
    <t>Показатель  теплоусвоение слоя Nr1  -Y1=</t>
  </si>
  <si>
    <t>при "n+1" =4</t>
  </si>
  <si>
    <t>Показатель  теплоусвоение  слоев конструкции для "n"-го слоя</t>
  </si>
  <si>
    <r>
      <t>(2R</t>
    </r>
    <r>
      <rPr>
        <vertAlign val="subscript"/>
        <sz val="10"/>
        <rFont val="Times New Roman Cyr"/>
        <family val="1"/>
      </rPr>
      <t>n</t>
    </r>
    <r>
      <rPr>
        <sz val="8"/>
        <rFont val="Times New Roman Cyr"/>
        <family val="1"/>
      </rPr>
      <t>*</t>
    </r>
    <r>
      <rPr>
        <sz val="12"/>
        <rFont val="Times New Roman CYR"/>
        <family val="1"/>
      </rPr>
      <t>s</t>
    </r>
    <r>
      <rPr>
        <vertAlign val="subscript"/>
        <sz val="10"/>
        <rFont val="Times New Roman Cyr"/>
        <family val="1"/>
      </rPr>
      <t>n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+</t>
    </r>
    <r>
      <rPr>
        <sz val="12"/>
        <rFont val="Times New Roman CYR"/>
        <family val="1"/>
      </rPr>
      <t>s</t>
    </r>
    <r>
      <rPr>
        <vertAlign val="subscript"/>
        <sz val="10"/>
        <rFont val="Times New Roman Cyr"/>
        <family val="1"/>
      </rPr>
      <t>n+1</t>
    </r>
    <r>
      <rPr>
        <sz val="10"/>
        <rFont val="Times New Roman CYR"/>
        <family val="1"/>
      </rPr>
      <t>)/(0,5+R</t>
    </r>
    <r>
      <rPr>
        <vertAlign val="subscript"/>
        <sz val="10"/>
        <rFont val="Times New Roman Cyr"/>
        <family val="1"/>
      </rPr>
      <t>n</t>
    </r>
    <r>
      <rPr>
        <sz val="8"/>
        <rFont val="Times New Roman Cyr"/>
        <family val="1"/>
      </rPr>
      <t>*</t>
    </r>
    <r>
      <rPr>
        <sz val="12"/>
        <rFont val="Times New Roman CYR"/>
        <family val="1"/>
      </rPr>
      <t>s</t>
    </r>
    <r>
      <rPr>
        <vertAlign val="subscript"/>
        <sz val="10"/>
        <rFont val="Times New Roman Cyr"/>
        <family val="1"/>
      </rPr>
      <t>n+1</t>
    </r>
    <r>
      <rPr>
        <sz val="10"/>
        <rFont val="Times New Roman CYR"/>
        <family val="1"/>
      </rPr>
      <t>)</t>
    </r>
  </si>
  <si>
    <t>при "n+1" =3</t>
  </si>
  <si>
    <t>Показатель  теплоусвоение слоев конструкции для "i"-го слоя</t>
  </si>
  <si>
    <r>
      <t>(4R</t>
    </r>
    <r>
      <rPr>
        <vertAlign val="subscript"/>
        <sz val="10"/>
        <rFont val="Times New Roman Cyr"/>
        <family val="1"/>
      </rPr>
      <t>i</t>
    </r>
    <r>
      <rPr>
        <sz val="8"/>
        <rFont val="Times New Roman Cyr"/>
        <family val="1"/>
      </rPr>
      <t>*</t>
    </r>
    <r>
      <rPr>
        <sz val="12"/>
        <rFont val="Times New Roman CYR"/>
        <family val="1"/>
      </rPr>
      <t>s</t>
    </r>
    <r>
      <rPr>
        <vertAlign val="subscript"/>
        <sz val="10"/>
        <rFont val="Times New Roman Cyr"/>
        <family val="1"/>
      </rPr>
      <t>i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+Y</t>
    </r>
    <r>
      <rPr>
        <vertAlign val="subscript"/>
        <sz val="10"/>
        <rFont val="Times New Roman Cyr"/>
        <family val="1"/>
      </rPr>
      <t>i+1</t>
    </r>
    <r>
      <rPr>
        <sz val="10"/>
        <rFont val="Times New Roman CYR"/>
        <family val="1"/>
      </rPr>
      <t>)/(1+R</t>
    </r>
    <r>
      <rPr>
        <vertAlign val="subscript"/>
        <sz val="10"/>
        <rFont val="Times New Roman Cyr"/>
        <family val="1"/>
      </rPr>
      <t>i</t>
    </r>
    <r>
      <rPr>
        <sz val="8"/>
        <rFont val="Times New Roman Cyr"/>
        <family val="1"/>
      </rPr>
      <t>*</t>
    </r>
    <r>
      <rPr>
        <sz val="10"/>
        <rFont val="Times New Roman CYR"/>
        <family val="1"/>
      </rPr>
      <t>Y</t>
    </r>
    <r>
      <rPr>
        <vertAlign val="subscript"/>
        <sz val="10"/>
        <rFont val="Times New Roman Cyr"/>
        <family val="1"/>
      </rPr>
      <t>i+1</t>
    </r>
    <r>
      <rPr>
        <sz val="10"/>
        <rFont val="Times New Roman CYR"/>
        <family val="1"/>
      </rPr>
      <t>)</t>
    </r>
  </si>
  <si>
    <t>Показатель  теплоусвоение поверхности пола</t>
  </si>
  <si>
    <t>при "n+1" =2</t>
  </si>
  <si>
    <r>
      <t>Вт/(м</t>
    </r>
    <r>
      <rPr>
        <b/>
        <vertAlign val="superscript"/>
        <sz val="9"/>
        <color indexed="8"/>
        <rFont val="Times New Roman Cyr"/>
        <family val="1"/>
      </rPr>
      <t>2</t>
    </r>
    <r>
      <rPr>
        <b/>
        <sz val="9"/>
        <color indexed="8"/>
        <rFont val="Times New Roman Cyr"/>
        <family val="1"/>
      </rPr>
      <t>.</t>
    </r>
    <r>
      <rPr>
        <b/>
        <vertAlign val="superscript"/>
        <sz val="9"/>
        <color indexed="8"/>
        <rFont val="Times New Roman Cyr"/>
        <family val="1"/>
      </rPr>
      <t>o</t>
    </r>
    <r>
      <rPr>
        <b/>
        <sz val="9"/>
        <color indexed="8"/>
        <rFont val="Times New Roman Cyr"/>
        <family val="1"/>
      </rPr>
      <t>C)</t>
    </r>
  </si>
  <si>
    <t>при "n" =1</t>
  </si>
  <si>
    <t>Yп=</t>
  </si>
  <si>
    <r>
      <t>&lt;Yп</t>
    </r>
    <r>
      <rPr>
        <b/>
        <vertAlign val="superscript"/>
        <sz val="9"/>
        <rFont val="Times New Roman Cyr"/>
        <family val="1"/>
      </rPr>
      <t>req</t>
    </r>
    <r>
      <rPr>
        <b/>
        <sz val="9"/>
        <rFont val="Times New Roman Cyr"/>
        <family val="0"/>
      </rPr>
      <t>=</t>
    </r>
  </si>
  <si>
    <t>Следовательно ограждающая конструция удовлетворяет требования СНиП II-03-79* , п.5.1. так как:</t>
  </si>
  <si>
    <r>
      <t>&gt;Yп</t>
    </r>
    <r>
      <rPr>
        <b/>
        <vertAlign val="superscript"/>
        <sz val="9"/>
        <rFont val="Times New Roman Cyr"/>
        <family val="1"/>
      </rPr>
      <t>req</t>
    </r>
    <r>
      <rPr>
        <b/>
        <sz val="9"/>
        <rFont val="Times New Roman Cyr"/>
        <family val="0"/>
      </rPr>
      <t>=</t>
    </r>
  </si>
  <si>
    <t xml:space="preserve"> IV . Сопротивление воздухопроницанию </t>
  </si>
  <si>
    <t xml:space="preserve">1 . Сопротивление воздухопроницанию ограждающих конструкций </t>
  </si>
  <si>
    <t>1.1.  Нормативнaя воздухопроницаемость-таб. 12*   СНиП II-03-79*</t>
  </si>
  <si>
    <t>Нормативную воздухопроницаемость  -таб. 12. СНиП II-03-79*</t>
  </si>
  <si>
    <t xml:space="preserve">Вид ограждающие конструкции                     </t>
  </si>
  <si>
    <t>Наруж. стены,перекр. и покр. в жил.и общ. зданиях</t>
  </si>
  <si>
    <t>Наруж. стены-в 3 эт. зданиях и выше</t>
  </si>
  <si>
    <r>
      <t>G</t>
    </r>
    <r>
      <rPr>
        <vertAlign val="subscript"/>
        <sz val="9"/>
        <rFont val="Times New Roman Cyr"/>
        <family val="1"/>
      </rPr>
      <t>н</t>
    </r>
    <r>
      <rPr>
        <vertAlign val="superscript"/>
        <sz val="9"/>
        <rFont val="Times New Roman Cyr"/>
        <family val="1"/>
      </rPr>
      <t>тр</t>
    </r>
    <r>
      <rPr>
        <sz val="9"/>
        <rFont val="Times New Roman Cyr"/>
        <family val="1"/>
      </rPr>
      <t>=</t>
    </r>
  </si>
  <si>
    <r>
      <t>кг/(м</t>
    </r>
    <r>
      <rPr>
        <vertAlign val="superscript"/>
        <sz val="10"/>
        <color indexed="8"/>
        <rFont val="Times New Roman Cyr"/>
        <family val="1"/>
      </rPr>
      <t>2</t>
    </r>
    <r>
      <rPr>
        <sz val="10"/>
        <color indexed="8"/>
        <rFont val="Times New Roman Cyr"/>
        <family val="1"/>
      </rPr>
      <t>.</t>
    </r>
    <r>
      <rPr>
        <sz val="10"/>
        <color indexed="8"/>
        <rFont val="Times New Roman Cyr"/>
        <family val="1"/>
      </rPr>
      <t>час)</t>
    </r>
  </si>
  <si>
    <t>Стики между панелями наруж. стен -.жил. зания</t>
  </si>
  <si>
    <t>Высота здания   H=</t>
  </si>
  <si>
    <t xml:space="preserve"> м</t>
  </si>
  <si>
    <t>Высота от поверхности земли до верха карниза</t>
  </si>
  <si>
    <t>Стики между панелями наруж. стен.-произв. зания</t>
  </si>
  <si>
    <t>Скорост  ветра    v=</t>
  </si>
  <si>
    <t>Максимальная из средних скоростей ветра</t>
  </si>
  <si>
    <r>
      <t>g</t>
    </r>
    <r>
      <rPr>
        <sz val="10"/>
        <rFont val="Times New Roman CYR"/>
        <family val="1"/>
      </rPr>
      <t>н=</t>
    </r>
  </si>
  <si>
    <r>
      <t>Н/м</t>
    </r>
    <r>
      <rPr>
        <vertAlign val="superscript"/>
        <sz val="10"/>
        <color indexed="8"/>
        <rFont val="Times New Roman Cyr"/>
        <family val="1"/>
      </rPr>
      <t>3</t>
    </r>
  </si>
  <si>
    <t>Удельный вес наружного воздуха</t>
  </si>
  <si>
    <t>Нормативную воздухопроницаемость  -таб. 12</t>
  </si>
  <si>
    <r>
      <t>g</t>
    </r>
    <r>
      <rPr>
        <sz val="10"/>
        <rFont val="Times New Roman CYR"/>
        <family val="1"/>
      </rPr>
      <t>в=</t>
    </r>
  </si>
  <si>
    <t>Удельный вес внутреннего воздуха</t>
  </si>
  <si>
    <t>Входние двери в квартири</t>
  </si>
  <si>
    <r>
      <t>D</t>
    </r>
    <r>
      <rPr>
        <sz val="10"/>
        <rFont val="Times New Roman CYR"/>
        <family val="1"/>
      </rPr>
      <t>p=</t>
    </r>
  </si>
  <si>
    <r>
      <t>0.55*Н(</t>
    </r>
    <r>
      <rPr>
        <sz val="10"/>
        <rFont val="Symbol"/>
        <family val="1"/>
      </rPr>
      <t>g</t>
    </r>
    <r>
      <rPr>
        <sz val="10"/>
        <rFont val="Times New Roman CYR"/>
        <family val="1"/>
      </rPr>
      <t>н</t>
    </r>
    <r>
      <rPr>
        <sz val="10"/>
        <rFont val="MS Sans Serif"/>
        <family val="0"/>
      </rPr>
      <t>-</t>
    </r>
    <r>
      <rPr>
        <sz val="10"/>
        <rFont val="Symbol"/>
        <family val="1"/>
      </rPr>
      <t>g</t>
    </r>
    <r>
      <rPr>
        <sz val="10"/>
        <rFont val="Times New Roman CYR"/>
        <family val="1"/>
      </rPr>
      <t>в</t>
    </r>
    <r>
      <rPr>
        <sz val="10"/>
        <rFont val="MS Sans Serif"/>
        <family val="0"/>
      </rPr>
      <t>)+0.03*</t>
    </r>
    <r>
      <rPr>
        <sz val="10"/>
        <rFont val="Symbol"/>
        <family val="1"/>
      </rPr>
      <t>g</t>
    </r>
    <r>
      <rPr>
        <sz val="10"/>
        <rFont val="Times New Roman CYR"/>
        <family val="1"/>
      </rPr>
      <t>н</t>
    </r>
    <r>
      <rPr>
        <sz val="10"/>
        <rFont val="MS Sans Serif"/>
        <family val="0"/>
      </rPr>
      <t>*</t>
    </r>
    <r>
      <rPr>
        <sz val="10"/>
        <rFont val="Times New Roman"/>
        <family val="1"/>
      </rPr>
      <t>v</t>
    </r>
    <r>
      <rPr>
        <vertAlign val="superscript"/>
        <sz val="10"/>
        <rFont val="Times New Roman"/>
        <family val="1"/>
      </rPr>
      <t>2</t>
    </r>
  </si>
  <si>
    <t>Окна и балконные двери в пластм. и алюмин. перепл.</t>
  </si>
  <si>
    <t>Разность давлений воздуха на нар. внутр. поверхностиограж. конструкций</t>
  </si>
  <si>
    <t>Окна и балконные двери в деревян. переплетах</t>
  </si>
  <si>
    <t>Окна и балконные двери в произв. зданиях</t>
  </si>
  <si>
    <t>1.2.  Требуемуе сопрот. воздухопроницаемость</t>
  </si>
  <si>
    <t>Окна и балк. двери в произв. зданиях с кондиц. возд.</t>
  </si>
  <si>
    <r>
      <t xml:space="preserve"> Rн</t>
    </r>
    <r>
      <rPr>
        <vertAlign val="superscript"/>
        <sz val="10"/>
        <rFont val="Times New Roman CYR"/>
        <family val="1"/>
      </rPr>
      <t>тр</t>
    </r>
    <r>
      <rPr>
        <sz val="10"/>
        <rFont val="Times New Roman CYR"/>
        <family val="1"/>
      </rPr>
      <t>=</t>
    </r>
  </si>
  <si>
    <r>
      <t>D</t>
    </r>
    <r>
      <rPr>
        <sz val="9"/>
        <rFont val="Times New Roman Cyr"/>
        <family val="1"/>
      </rPr>
      <t>p/G</t>
    </r>
    <r>
      <rPr>
        <vertAlign val="subscript"/>
        <sz val="9"/>
        <rFont val="Times New Roman Cyr"/>
        <family val="1"/>
      </rPr>
      <t>m</t>
    </r>
    <r>
      <rPr>
        <vertAlign val="superscript"/>
        <sz val="9"/>
        <rFont val="Times New Roman Cyr"/>
        <family val="1"/>
      </rPr>
      <t>req</t>
    </r>
  </si>
  <si>
    <t>м2.час.Па/кг</t>
  </si>
  <si>
    <t>Поэлементное сопр. воздухопроницаемости</t>
  </si>
  <si>
    <r>
      <t>d(</t>
    </r>
    <r>
      <rPr>
        <sz val="10"/>
        <color indexed="8"/>
        <rFont val="Times New Roman Cyr"/>
        <family val="1"/>
      </rPr>
      <t>прил.9)</t>
    </r>
  </si>
  <si>
    <t>Rвозд.</t>
  </si>
  <si>
    <r>
      <t>(м</t>
    </r>
    <r>
      <rPr>
        <vertAlign val="superscript"/>
        <sz val="9"/>
        <color indexed="8"/>
        <rFont val="Times New Roman Cyr"/>
        <family val="1"/>
      </rPr>
      <t>2</t>
    </r>
    <r>
      <rPr>
        <sz val="9"/>
        <color indexed="8"/>
        <rFont val="Times New Roman Cyr"/>
        <family val="1"/>
      </rPr>
      <t>.</t>
    </r>
    <r>
      <rPr>
        <sz val="9"/>
        <color indexed="8"/>
        <rFont val="Times New Roman Cyr"/>
        <family val="1"/>
      </rPr>
      <t>час)/кг</t>
    </r>
  </si>
  <si>
    <t xml:space="preserve">    Сопротивление воздухопроницанию конструкции     Ra=</t>
  </si>
  <si>
    <t xml:space="preserve"> R1+R2+R3+R4+R5+R6</t>
  </si>
  <si>
    <t>Rи=Rвозд.*б/б(прил.9)</t>
  </si>
  <si>
    <t>Ra=</t>
  </si>
  <si>
    <t xml:space="preserve">  =</t>
  </si>
  <si>
    <r>
      <t>м</t>
    </r>
    <r>
      <rPr>
        <vertAlign val="superscript"/>
        <sz val="10"/>
        <color indexed="8"/>
        <rFont val="Times New Roman Cyr"/>
        <family val="1"/>
      </rPr>
      <t>2</t>
    </r>
    <r>
      <rPr>
        <sz val="10"/>
        <color indexed="8"/>
        <rFont val="Times New Roman Cyr"/>
        <family val="1"/>
      </rPr>
      <t>.ч.Па/кг</t>
    </r>
  </si>
  <si>
    <r>
      <t>&gt;R</t>
    </r>
    <r>
      <rPr>
        <b/>
        <vertAlign val="subscript"/>
        <sz val="10"/>
        <rFont val="Times New Roman Cyr"/>
        <family val="1"/>
      </rPr>
      <t>а</t>
    </r>
    <r>
      <rPr>
        <b/>
        <vertAlign val="superscript"/>
        <sz val="10"/>
        <rFont val="Times New Roman Cyr"/>
        <family val="1"/>
      </rPr>
      <t>req</t>
    </r>
    <r>
      <rPr>
        <b/>
        <sz val="10"/>
        <rFont val="Times New Roman CYR"/>
        <family val="0"/>
      </rPr>
      <t>=</t>
    </r>
  </si>
  <si>
    <r>
      <t xml:space="preserve">                    </t>
    </r>
    <r>
      <rPr>
        <b/>
        <sz val="9"/>
        <rFont val="Times New Roman Cyr"/>
        <family val="1"/>
      </rPr>
      <t>Ra=</t>
    </r>
  </si>
  <si>
    <r>
      <t>м</t>
    </r>
    <r>
      <rPr>
        <vertAlign val="superscript"/>
        <sz val="10"/>
        <color indexed="8"/>
        <rFont val="Times New Roman Cyr"/>
        <family val="1"/>
      </rPr>
      <t>2</t>
    </r>
    <r>
      <rPr>
        <sz val="10"/>
        <color indexed="8"/>
        <rFont val="Times New Roman Cyr"/>
        <family val="1"/>
      </rPr>
      <t>.ч.Па/кг</t>
    </r>
  </si>
  <si>
    <t>Следовательно ограждающая конструция не удовлетворяет требования СНиП II-03-79* , п.5.1. так как:</t>
  </si>
  <si>
    <r>
      <t>&lt;R</t>
    </r>
    <r>
      <rPr>
        <b/>
        <vertAlign val="subscript"/>
        <sz val="9"/>
        <rFont val="Times New Roman Cyr"/>
        <family val="1"/>
      </rPr>
      <t>а</t>
    </r>
    <r>
      <rPr>
        <b/>
        <vertAlign val="superscript"/>
        <sz val="9"/>
        <rFont val="Times New Roman Cyr"/>
        <family val="1"/>
      </rPr>
      <t>req</t>
    </r>
    <r>
      <rPr>
        <b/>
        <sz val="9"/>
        <rFont val="Times New Roman Cyr"/>
        <family val="0"/>
      </rPr>
      <t>=</t>
    </r>
  </si>
  <si>
    <t>Rа=</t>
  </si>
  <si>
    <t>2 . Сопротивление воздухопроницанию окон и балконных дверей</t>
  </si>
  <si>
    <t>2.1.  Нормативную воздухопроницаемость  -таб. 12 СНИП II-03-79*</t>
  </si>
  <si>
    <r>
      <t>G</t>
    </r>
    <r>
      <rPr>
        <vertAlign val="superscript"/>
        <sz val="10"/>
        <rFont val="Times New Roman CYR"/>
        <family val="1"/>
      </rPr>
      <t>н</t>
    </r>
    <r>
      <rPr>
        <sz val="10"/>
        <rFont val="Times New Roman CYR"/>
        <family val="1"/>
      </rPr>
      <t>=</t>
    </r>
  </si>
  <si>
    <r>
      <t>кг/(м</t>
    </r>
    <r>
      <rPr>
        <vertAlign val="superscript"/>
        <sz val="10"/>
        <color indexed="8"/>
        <rFont val="Times New Roman Cyr"/>
        <family val="1"/>
      </rPr>
      <t>2</t>
    </r>
    <r>
      <rPr>
        <sz val="10"/>
        <color indexed="8"/>
        <rFont val="Times New Roman Cyr"/>
        <family val="1"/>
      </rPr>
      <t>.час)</t>
    </r>
  </si>
  <si>
    <t xml:space="preserve">2.2.  Требуемуе сопрот. воздухопроницаемость </t>
  </si>
  <si>
    <r>
      <t>{(D</t>
    </r>
    <r>
      <rPr>
        <sz val="9"/>
        <rFont val="Times New Roman Cyr"/>
        <family val="1"/>
      </rPr>
      <t>p/</t>
    </r>
    <r>
      <rPr>
        <sz val="9"/>
        <rFont val="Symbol"/>
        <family val="1"/>
      </rPr>
      <t>D</t>
    </r>
    <r>
      <rPr>
        <sz val="9"/>
        <rFont val="Times New Roman Cyr"/>
        <family val="1"/>
      </rPr>
      <t>p</t>
    </r>
    <r>
      <rPr>
        <vertAlign val="subscript"/>
        <sz val="9"/>
        <rFont val="Times New Roman Cyr"/>
        <family val="1"/>
      </rPr>
      <t>o</t>
    </r>
    <r>
      <rPr>
        <sz val="9"/>
        <rFont val="Times New Roman Cyr"/>
        <family val="1"/>
      </rPr>
      <t>)</t>
    </r>
    <r>
      <rPr>
        <vertAlign val="superscript"/>
        <sz val="9"/>
        <rFont val="Times New Roman Cyr"/>
        <family val="1"/>
      </rPr>
      <t>0.67</t>
    </r>
    <r>
      <rPr>
        <sz val="9"/>
        <rFont val="Times New Roman Cyr"/>
        <family val="1"/>
      </rPr>
      <t>}</t>
    </r>
    <r>
      <rPr>
        <sz val="9"/>
        <rFont val="Times New Roman Cyr"/>
        <family val="1"/>
      </rPr>
      <t>/ G</t>
    </r>
    <r>
      <rPr>
        <vertAlign val="subscript"/>
        <sz val="9"/>
        <rFont val="Times New Roman Cyr"/>
        <family val="1"/>
      </rPr>
      <t>и</t>
    </r>
    <r>
      <rPr>
        <vertAlign val="superscript"/>
        <sz val="9"/>
        <rFont val="Times New Roman Cyr"/>
        <family val="1"/>
      </rPr>
      <t>req</t>
    </r>
  </si>
  <si>
    <r>
      <t>D</t>
    </r>
    <r>
      <rPr>
        <sz val="10"/>
        <rFont val="Times New Roman CYR"/>
        <family val="1"/>
      </rPr>
      <t>p</t>
    </r>
    <r>
      <rPr>
        <vertAlign val="subscript"/>
        <sz val="10"/>
        <rFont val="Times New Roman Cyr"/>
        <family val="1"/>
      </rPr>
      <t>o=</t>
    </r>
  </si>
  <si>
    <r>
      <t>м</t>
    </r>
    <r>
      <rPr>
        <b/>
        <vertAlign val="superscript"/>
        <sz val="10"/>
        <rFont val="Times New Roman Cyr"/>
        <family val="1"/>
      </rPr>
      <t>2</t>
    </r>
    <r>
      <rPr>
        <b/>
        <sz val="10"/>
        <rFont val="Times New Roman CYR"/>
        <family val="1"/>
      </rPr>
      <t>.час/кг</t>
    </r>
  </si>
  <si>
    <t>No</t>
  </si>
  <si>
    <t xml:space="preserve">        СНИП-II-3-79*    - Прилож. 3*</t>
  </si>
  <si>
    <t>Воздушная просл.до20мм</t>
  </si>
  <si>
    <t>Воздушная просл.30,40мм</t>
  </si>
  <si>
    <t>Воздушная просл.50мм</t>
  </si>
  <si>
    <t xml:space="preserve">             прил.9</t>
  </si>
  <si>
    <t>Коеф.поглощ.</t>
  </si>
  <si>
    <t xml:space="preserve">Воздушная просл.до100мм </t>
  </si>
  <si>
    <t xml:space="preserve">     вoздухопрониц.</t>
  </si>
  <si>
    <r>
      <t>табл.14</t>
    </r>
    <r>
      <rPr>
        <sz val="10"/>
        <color indexed="8"/>
        <rFont val="Times New Roman Cyr"/>
        <family val="1"/>
      </rPr>
      <t>*</t>
    </r>
  </si>
  <si>
    <t>сол. радиац.</t>
  </si>
  <si>
    <t xml:space="preserve">     Бетоны</t>
  </si>
  <si>
    <r>
      <t>l</t>
    </r>
    <r>
      <rPr>
        <b/>
        <sz val="10"/>
        <color indexed="8"/>
        <rFont val="CourierCyr"/>
        <family val="3"/>
      </rPr>
      <t>(A)</t>
    </r>
  </si>
  <si>
    <r>
      <t>l</t>
    </r>
    <r>
      <rPr>
        <b/>
        <sz val="10"/>
        <color indexed="8"/>
        <rFont val="CourierCyr"/>
        <family val="3"/>
      </rPr>
      <t>(B)</t>
    </r>
  </si>
  <si>
    <t>Rи</t>
  </si>
  <si>
    <r>
      <t xml:space="preserve">    б</t>
    </r>
    <r>
      <rPr>
        <b/>
        <sz val="10"/>
        <rFont val="Times New Roman CYR"/>
        <family val="0"/>
      </rPr>
      <t>и</t>
    </r>
  </si>
  <si>
    <t>r</t>
  </si>
  <si>
    <t>Железобетон</t>
  </si>
  <si>
    <t>Бетон</t>
  </si>
  <si>
    <t>Керамзитоб. на кварц.-1200кг/м3</t>
  </si>
  <si>
    <t>Керамзитоб. на кварц.-1000кг/м3</t>
  </si>
  <si>
    <t>Керамзитоб. на кварц.-800кг/м3</t>
  </si>
  <si>
    <t>Керамзитобетон-1400кг/м3</t>
  </si>
  <si>
    <t>Керамзитобетон-1200кг/м3</t>
  </si>
  <si>
    <t>Керамзитобетон-1000кг/м3</t>
  </si>
  <si>
    <t>Керамзитобетон-800кг/м3</t>
  </si>
  <si>
    <t>Перлитобетон-1000кг/м3</t>
  </si>
  <si>
    <t>Перлитобетон-800кг/м3</t>
  </si>
  <si>
    <t>Перлитобетон-600кг/м3</t>
  </si>
  <si>
    <t>Газо и пенобетон-800кг/м3</t>
  </si>
  <si>
    <t>Газо и пенобетон-600кг/м3</t>
  </si>
  <si>
    <t>Газо и пенобетон-500кг/м3</t>
  </si>
  <si>
    <t xml:space="preserve">     Растворы</t>
  </si>
  <si>
    <t>Цем.-песчаный р-р</t>
  </si>
  <si>
    <t>Извест.-песчаный р-р</t>
  </si>
  <si>
    <t>Поризованный гипсоперлитовый р-р</t>
  </si>
  <si>
    <t>Гипсовая шпаклевка</t>
  </si>
  <si>
    <t xml:space="preserve">     Кирпичная кладка</t>
  </si>
  <si>
    <t>Кирпич.кладка сплош. -1800кг/м3</t>
  </si>
  <si>
    <t>Кирпич.кладка силик. -1800кг/м3</t>
  </si>
  <si>
    <t>Кирпичная кладка-1600кг/м3</t>
  </si>
  <si>
    <t>Кирпичная кладка-1400кг/м3</t>
  </si>
  <si>
    <t xml:space="preserve">     Облицовка камнем</t>
  </si>
  <si>
    <t>Гранит,базальт</t>
  </si>
  <si>
    <t>Мрамор</t>
  </si>
  <si>
    <t>Известьняк-1600кг/м3</t>
  </si>
  <si>
    <t xml:space="preserve">     Дерево</t>
  </si>
  <si>
    <t>Дуб(поперек волок.)</t>
  </si>
  <si>
    <t>Дуб(вдоль волок.)</t>
  </si>
  <si>
    <t>Плиты дерв.волокнистые</t>
  </si>
  <si>
    <t xml:space="preserve">     Теплоизоляционные материалы</t>
  </si>
  <si>
    <t>Минвата-200кг/м3(ГОСТ-9573-82)</t>
  </si>
  <si>
    <t>Минвата-100кг/м3(ГОСТ-9573-82)</t>
  </si>
  <si>
    <t>Минвата-75кг/м3(ГОСТ-9573-82)</t>
  </si>
  <si>
    <t>Минвата-50кг/м3(ГОСТ-9573-82)</t>
  </si>
  <si>
    <t>Плиты из стекловаты</t>
  </si>
  <si>
    <t>Мин вата Rockwool-Slab200</t>
  </si>
  <si>
    <t>Мин вата Rockwool-Slab100</t>
  </si>
  <si>
    <t>Мин вата Rockwool-Bats50</t>
  </si>
  <si>
    <t>Маты из стеклян. волокна</t>
  </si>
  <si>
    <t>Пенополиуретан-40кг/м3</t>
  </si>
  <si>
    <t xml:space="preserve">     Засыпки</t>
  </si>
  <si>
    <t>Гравий керамзитовый-800кг/м3</t>
  </si>
  <si>
    <t>Гравий керамзитовый-600кг/м3</t>
  </si>
  <si>
    <t>Гравий керамзитовый-400кг/м3</t>
  </si>
  <si>
    <t>Гравий керамзитовый-300кг/м3</t>
  </si>
  <si>
    <t>Перлит-600кг/м3</t>
  </si>
  <si>
    <t>Перлит-400кг/м3</t>
  </si>
  <si>
    <t>Песок</t>
  </si>
  <si>
    <t>Битумы строит. 1200кг/м3</t>
  </si>
  <si>
    <t>Битумы строит. 1000кг/м3</t>
  </si>
  <si>
    <t>Битумоперлит-400кг/м3</t>
  </si>
  <si>
    <t>Рубероид</t>
  </si>
  <si>
    <t>Линолеум</t>
  </si>
  <si>
    <t>PE-фольга</t>
  </si>
  <si>
    <t xml:space="preserve">     Металы и стекло</t>
  </si>
  <si>
    <t>Сталь-жесть ЛТ</t>
  </si>
  <si>
    <t>Стекло</t>
  </si>
  <si>
    <t xml:space="preserve">      Другие</t>
  </si>
  <si>
    <t>Железоб. панель-Спирола</t>
  </si>
  <si>
    <t>Foamglas-T4-040</t>
  </si>
  <si>
    <t>Гипсофазер</t>
  </si>
  <si>
    <t>Алюм. облицовка</t>
  </si>
  <si>
    <t>Черепица</t>
  </si>
  <si>
    <t>Армир. цементная стяжка</t>
  </si>
  <si>
    <t>Пергамин</t>
  </si>
  <si>
    <t>Подв. потолок"Armstrong"</t>
  </si>
  <si>
    <t>Металочерепица</t>
  </si>
  <si>
    <t>Окраска масленная -2 раза</t>
  </si>
  <si>
    <t>Плита керамическая</t>
  </si>
  <si>
    <t>Полимер. замазка "Alseko"</t>
  </si>
  <si>
    <t>ППЖ 200 по ТУ 67-16-207-93</t>
  </si>
  <si>
    <t>Мин вата Rockwool-Бетон Батс</t>
  </si>
  <si>
    <t>Резина</t>
  </si>
  <si>
    <t>СНИП-II-3-79*   - Таблица 1а-до2000г.</t>
  </si>
  <si>
    <t>СНИП-II-3-79*   - Таблица 1б-после 2000г.</t>
  </si>
  <si>
    <t>Жил. Леч.проф. Училища</t>
  </si>
  <si>
    <t>гр.сут.</t>
  </si>
  <si>
    <t>стени</t>
  </si>
  <si>
    <t>покрыт.</t>
  </si>
  <si>
    <t>перекр. чар.</t>
  </si>
  <si>
    <t>перекр.</t>
  </si>
  <si>
    <t xml:space="preserve">    СНИП-II-3-79*  - Таблица 2*</t>
  </si>
  <si>
    <t>Здания и помещения</t>
  </si>
  <si>
    <t>Норм. темп. перепад</t>
  </si>
  <si>
    <t>нар. стен</t>
  </si>
  <si>
    <t>покр.и чар.
перекрыт.</t>
  </si>
  <si>
    <t>перекр. над
проездами
подвалами</t>
  </si>
  <si>
    <t>1.Жилищ. лечебно-профил. училища</t>
  </si>
  <si>
    <t>2.Обществени</t>
  </si>
  <si>
    <t>3.Производ. сухим режим.</t>
  </si>
  <si>
    <t>4.Производ. влаж. режим</t>
  </si>
  <si>
    <t xml:space="preserve">Макс. </t>
  </si>
  <si>
    <t>Макс. сум.</t>
  </si>
  <si>
    <t>Сред. сум.</t>
  </si>
  <si>
    <t xml:space="preserve">амплитуда </t>
  </si>
  <si>
    <t>солнечной</t>
  </si>
  <si>
    <t>сут. колеб.</t>
  </si>
  <si>
    <t>радиации для</t>
  </si>
  <si>
    <t xml:space="preserve">скорост </t>
  </si>
  <si>
    <t xml:space="preserve">  СНИП 2.01.01-82   -таблица температура наружного воздуха</t>
  </si>
  <si>
    <t xml:space="preserve">  СНИП 2.01.01-82   прил. 3  - упругость водянного пара наружного воздуха</t>
  </si>
  <si>
    <t>Июль</t>
  </si>
  <si>
    <t>наруж .стен</t>
  </si>
  <si>
    <t>покрытии</t>
  </si>
  <si>
    <t xml:space="preserve"> ветра за </t>
  </si>
  <si>
    <t>Средные месечные температуры</t>
  </si>
  <si>
    <r>
      <t>Средная упругость водянного пара за годовой период -  е</t>
    </r>
    <r>
      <rPr>
        <sz val="8"/>
        <rFont val="Times New Roman Cyr"/>
        <family val="1"/>
      </rPr>
      <t>н</t>
    </r>
  </si>
  <si>
    <t>м. Июль</t>
  </si>
  <si>
    <t>Nr</t>
  </si>
  <si>
    <t xml:space="preserve">    Город</t>
  </si>
  <si>
    <t>парам.</t>
  </si>
  <si>
    <t>tо.пер.</t>
  </si>
  <si>
    <t>Zот.пер.</t>
  </si>
  <si>
    <r>
      <t>t</t>
    </r>
    <r>
      <rPr>
        <sz val="8"/>
        <rFont val="Times New Roman Cyr"/>
        <family val="1"/>
      </rPr>
      <t>01</t>
    </r>
  </si>
  <si>
    <r>
      <t>t</t>
    </r>
    <r>
      <rPr>
        <sz val="8"/>
        <rFont val="Times New Roman Cyr"/>
        <family val="1"/>
      </rPr>
      <t>02</t>
    </r>
  </si>
  <si>
    <r>
      <t>t</t>
    </r>
    <r>
      <rPr>
        <sz val="8"/>
        <rFont val="Times New Roman Cyr"/>
        <family val="1"/>
      </rPr>
      <t>03</t>
    </r>
  </si>
  <si>
    <r>
      <t>t</t>
    </r>
    <r>
      <rPr>
        <sz val="8"/>
        <rFont val="Times New Roman Cyr"/>
        <family val="1"/>
      </rPr>
      <t>04</t>
    </r>
  </si>
  <si>
    <r>
      <t>t</t>
    </r>
    <r>
      <rPr>
        <sz val="8"/>
        <rFont val="Times New Roman Cyr"/>
        <family val="1"/>
      </rPr>
      <t>05</t>
    </r>
  </si>
  <si>
    <r>
      <t>t</t>
    </r>
    <r>
      <rPr>
        <sz val="8"/>
        <rFont val="Times New Roman Cyr"/>
        <family val="1"/>
      </rPr>
      <t>06</t>
    </r>
  </si>
  <si>
    <r>
      <t>t</t>
    </r>
    <r>
      <rPr>
        <sz val="8"/>
        <rFont val="Times New Roman Cyr"/>
        <family val="1"/>
      </rPr>
      <t>07</t>
    </r>
  </si>
  <si>
    <r>
      <t>t</t>
    </r>
    <r>
      <rPr>
        <sz val="8"/>
        <rFont val="Times New Roman Cyr"/>
        <family val="1"/>
      </rPr>
      <t>08</t>
    </r>
  </si>
  <si>
    <r>
      <t>t</t>
    </r>
    <r>
      <rPr>
        <sz val="8"/>
        <rFont val="Times New Roman Cyr"/>
        <family val="1"/>
      </rPr>
      <t>09</t>
    </r>
  </si>
  <si>
    <r>
      <t>t</t>
    </r>
    <r>
      <rPr>
        <sz val="8"/>
        <rFont val="Times New Roman Cyr"/>
        <family val="1"/>
      </rPr>
      <t>10</t>
    </r>
  </si>
  <si>
    <r>
      <t>t</t>
    </r>
    <r>
      <rPr>
        <sz val="8"/>
        <rFont val="Times New Roman Cyr"/>
        <family val="1"/>
      </rPr>
      <t>11</t>
    </r>
  </si>
  <si>
    <r>
      <t>t</t>
    </r>
    <r>
      <rPr>
        <sz val="8"/>
        <rFont val="Times New Roman Cyr"/>
        <family val="1"/>
      </rPr>
      <t>12</t>
    </r>
  </si>
  <si>
    <r>
      <t xml:space="preserve"> е</t>
    </r>
    <r>
      <rPr>
        <sz val="8"/>
        <color indexed="8"/>
        <rFont val="Times New Roman Cyr"/>
        <family val="1"/>
      </rPr>
      <t>01</t>
    </r>
  </si>
  <si>
    <r>
      <t xml:space="preserve"> е</t>
    </r>
    <r>
      <rPr>
        <sz val="8"/>
        <color indexed="8"/>
        <rFont val="Times New Roman Cyr"/>
        <family val="1"/>
      </rPr>
      <t>02</t>
    </r>
  </si>
  <si>
    <r>
      <t xml:space="preserve"> е</t>
    </r>
    <r>
      <rPr>
        <sz val="8"/>
        <color indexed="8"/>
        <rFont val="Times New Roman Cyr"/>
        <family val="1"/>
      </rPr>
      <t>03</t>
    </r>
  </si>
  <si>
    <r>
      <t xml:space="preserve"> е</t>
    </r>
    <r>
      <rPr>
        <sz val="8"/>
        <color indexed="8"/>
        <rFont val="Times New Roman Cyr"/>
        <family val="1"/>
      </rPr>
      <t>04</t>
    </r>
  </si>
  <si>
    <r>
      <t xml:space="preserve"> е</t>
    </r>
    <r>
      <rPr>
        <sz val="8"/>
        <color indexed="8"/>
        <rFont val="Times New Roman Cyr"/>
        <family val="1"/>
      </rPr>
      <t>05</t>
    </r>
  </si>
  <si>
    <r>
      <t xml:space="preserve"> е</t>
    </r>
    <r>
      <rPr>
        <sz val="8"/>
        <color indexed="8"/>
        <rFont val="Times New Roman Cyr"/>
        <family val="1"/>
      </rPr>
      <t>06</t>
    </r>
  </si>
  <si>
    <r>
      <t xml:space="preserve"> е</t>
    </r>
    <r>
      <rPr>
        <sz val="8"/>
        <color indexed="8"/>
        <rFont val="Times New Roman Cyr"/>
        <family val="1"/>
      </rPr>
      <t>07</t>
    </r>
  </si>
  <si>
    <r>
      <t xml:space="preserve"> е</t>
    </r>
    <r>
      <rPr>
        <sz val="8"/>
        <color indexed="8"/>
        <rFont val="Times New Roman Cyr"/>
        <family val="1"/>
      </rPr>
      <t>08</t>
    </r>
  </si>
  <si>
    <r>
      <t xml:space="preserve"> е</t>
    </r>
    <r>
      <rPr>
        <sz val="8"/>
        <color indexed="8"/>
        <rFont val="Times New Roman Cyr"/>
        <family val="1"/>
      </rPr>
      <t>09</t>
    </r>
  </si>
  <si>
    <r>
      <t xml:space="preserve"> е</t>
    </r>
    <r>
      <rPr>
        <sz val="8"/>
        <color indexed="8"/>
        <rFont val="Times New Roman Cyr"/>
        <family val="1"/>
      </rPr>
      <t>10</t>
    </r>
  </si>
  <si>
    <r>
      <t xml:space="preserve"> е</t>
    </r>
    <r>
      <rPr>
        <sz val="8"/>
        <color indexed="8"/>
        <rFont val="Times New Roman Cyr"/>
        <family val="1"/>
      </rPr>
      <t>11</t>
    </r>
  </si>
  <si>
    <r>
      <t xml:space="preserve"> е</t>
    </r>
    <r>
      <rPr>
        <sz val="8"/>
        <color indexed="8"/>
        <rFont val="Times New Roman Cyr"/>
        <family val="1"/>
      </rPr>
      <t>12</t>
    </r>
  </si>
  <si>
    <r>
      <t>At</t>
    </r>
    <r>
      <rPr>
        <b/>
        <vertAlign val="subscript"/>
        <sz val="10"/>
        <rFont val="Times New Roman Cyr"/>
        <family val="1"/>
      </rPr>
      <t>н</t>
    </r>
    <r>
      <rPr>
        <b/>
        <sz val="10"/>
        <rFont val="Times New Roman CYR"/>
        <family val="1"/>
      </rPr>
      <t>=</t>
    </r>
  </si>
  <si>
    <t xml:space="preserve"> v=</t>
  </si>
  <si>
    <t>Aкмола</t>
  </si>
  <si>
    <t>A</t>
  </si>
  <si>
    <t>Алма-ата</t>
  </si>
  <si>
    <t>Архангельск</t>
  </si>
  <si>
    <t>B</t>
  </si>
  <si>
    <t>Астрахан</t>
  </si>
  <si>
    <t>Атырыу</t>
  </si>
  <si>
    <t>Волгоград</t>
  </si>
  <si>
    <t>Воронеж</t>
  </si>
  <si>
    <t xml:space="preserve">Горки   </t>
  </si>
  <si>
    <t xml:space="preserve">Горкий   </t>
  </si>
  <si>
    <t>Екатеринбург</t>
  </si>
  <si>
    <t>Иркутск</t>
  </si>
  <si>
    <t xml:space="preserve">Казань         </t>
  </si>
  <si>
    <t xml:space="preserve">Казань      </t>
  </si>
  <si>
    <t>Калуга</t>
  </si>
  <si>
    <t>Калининград</t>
  </si>
  <si>
    <t xml:space="preserve">Киев    </t>
  </si>
  <si>
    <t xml:space="preserve">Киров   </t>
  </si>
  <si>
    <t>Краснодар</t>
  </si>
  <si>
    <t>Красноярск</t>
  </si>
  <si>
    <t>Москва</t>
  </si>
  <si>
    <t>Мурманск</t>
  </si>
  <si>
    <t>Нижний Новгород</t>
  </si>
  <si>
    <t>Новосибирск</t>
  </si>
  <si>
    <t xml:space="preserve">Омск   </t>
  </si>
  <si>
    <t>Оренбург</t>
  </si>
  <si>
    <t xml:space="preserve">Пенза   </t>
  </si>
  <si>
    <t>Петрозаводск</t>
  </si>
  <si>
    <t>Петропавловск Камч.</t>
  </si>
  <si>
    <t>Ростов на  Дону</t>
  </si>
  <si>
    <t>Самара</t>
  </si>
  <si>
    <t>18,7</t>
  </si>
  <si>
    <t>Санкт Петербург</t>
  </si>
  <si>
    <t>Саратов</t>
  </si>
  <si>
    <t>Сургут</t>
  </si>
  <si>
    <t xml:space="preserve">Сочи    </t>
  </si>
  <si>
    <t>Ставропол</t>
  </si>
  <si>
    <t xml:space="preserve">Тула   </t>
  </si>
  <si>
    <t>Туапсе</t>
  </si>
  <si>
    <t xml:space="preserve">Тюмен   </t>
  </si>
  <si>
    <t>Хабаровск</t>
  </si>
  <si>
    <t>Челябинск</t>
  </si>
  <si>
    <t>Якутск</t>
  </si>
  <si>
    <t>Ханты-Мантийск</t>
  </si>
  <si>
    <t>Кзыл Орда</t>
  </si>
  <si>
    <t>Таганрог</t>
  </si>
  <si>
    <t>Одеса</t>
  </si>
  <si>
    <t>Евпатория</t>
  </si>
  <si>
    <t>Салехард</t>
  </si>
  <si>
    <t>Харьков</t>
  </si>
  <si>
    <t>л3</t>
  </si>
  <si>
    <t>Каунас</t>
  </si>
  <si>
    <t>Упругость насыщеного водянного пара E ( Па)</t>
  </si>
  <si>
    <t>N</t>
  </si>
  <si>
    <r>
      <t xml:space="preserve">t  </t>
    </r>
    <r>
      <rPr>
        <vertAlign val="superscript"/>
        <sz val="10"/>
        <rFont val="MS Sans Serif"/>
        <family val="2"/>
      </rPr>
      <t>o</t>
    </r>
    <r>
      <rPr>
        <sz val="10"/>
        <rFont val="MS Sans Serif"/>
        <family val="0"/>
      </rPr>
      <t>C</t>
    </r>
  </si>
  <si>
    <t>Температура точки росы</t>
  </si>
  <si>
    <t>Минвата-200кг/м3(Сибит)</t>
  </si>
  <si>
    <t>Минвата-50кг/м3(Запсибгазпром)</t>
  </si>
  <si>
    <t>Цем.стружчные плиты</t>
  </si>
  <si>
    <t>Пенополистирол-пасп.№1534</t>
  </si>
  <si>
    <t>Пенополистирол-ГОСТ 15538-86</t>
  </si>
  <si>
    <t>Тольятти</t>
  </si>
  <si>
    <t>Общественные здания</t>
  </si>
  <si>
    <t>Производственные здания</t>
  </si>
  <si>
    <t xml:space="preserve">Подобьект: </t>
  </si>
  <si>
    <r>
      <t xml:space="preserve">  0.0024</t>
    </r>
    <r>
      <rPr>
        <sz val="14"/>
        <rFont val="Times New Roman Cyr"/>
        <family val="1"/>
      </rPr>
      <t>.</t>
    </r>
    <r>
      <rPr>
        <sz val="12"/>
        <rFont val="Times New Roman CYR"/>
        <family val="1"/>
      </rPr>
      <t>z</t>
    </r>
    <r>
      <rPr>
        <vertAlign val="subscript"/>
        <sz val="9"/>
        <rFont val="Times New Roman Cyr"/>
        <family val="1"/>
      </rPr>
      <t>o</t>
    </r>
    <r>
      <rPr>
        <sz val="9"/>
        <rFont val="Times New Roman Cyr"/>
        <family val="1"/>
      </rPr>
      <t>(</t>
    </r>
    <r>
      <rPr>
        <sz val="12"/>
        <rFont val="Times New Roman CYR"/>
        <family val="1"/>
      </rPr>
      <t>e</t>
    </r>
    <r>
      <rPr>
        <sz val="9"/>
        <rFont val="Times New Roman Cyr"/>
        <family val="1"/>
      </rPr>
      <t>-</t>
    </r>
    <r>
      <rPr>
        <sz val="10"/>
        <rFont val="Times New Roman CYR"/>
        <family val="1"/>
      </rPr>
      <t>E</t>
    </r>
    <r>
      <rPr>
        <sz val="9"/>
        <rFont val="Times New Roman Cyr"/>
        <family val="1"/>
      </rPr>
      <t>o)</t>
    </r>
    <r>
      <rPr>
        <sz val="14"/>
        <rFont val="Times New Roman Cyr"/>
        <family val="1"/>
      </rPr>
      <t>:</t>
    </r>
    <r>
      <rPr>
        <sz val="9"/>
        <rFont val="Times New Roman Cyr"/>
        <family val="1"/>
      </rPr>
      <t>(</t>
    </r>
    <r>
      <rPr>
        <sz val="12"/>
        <rFont val="Symbol"/>
        <family val="1"/>
      </rPr>
      <t>g</t>
    </r>
    <r>
      <rPr>
        <vertAlign val="subscript"/>
        <sz val="9"/>
        <rFont val="Times New Roman Cyr"/>
        <family val="1"/>
      </rPr>
      <t>w</t>
    </r>
    <r>
      <rPr>
        <sz val="9"/>
        <rFont val="Times New Roman Cyr"/>
        <family val="1"/>
      </rPr>
      <t>.</t>
    </r>
    <r>
      <rPr>
        <sz val="12"/>
        <rFont val="Symbol"/>
        <family val="1"/>
      </rPr>
      <t>d</t>
    </r>
    <r>
      <rPr>
        <vertAlign val="subscript"/>
        <sz val="9"/>
        <rFont val="Times New Roman Cyr"/>
        <family val="1"/>
      </rPr>
      <t>w</t>
    </r>
    <r>
      <rPr>
        <sz val="9"/>
        <rFont val="Symbol"/>
        <family val="1"/>
      </rPr>
      <t>.</t>
    </r>
    <r>
      <rPr>
        <sz val="10"/>
        <rFont val="Symbol"/>
        <family val="1"/>
      </rPr>
      <t>D</t>
    </r>
    <r>
      <rPr>
        <vertAlign val="subscript"/>
        <sz val="9"/>
        <rFont val="Times New Roman Cyr"/>
        <family val="1"/>
      </rPr>
      <t>w</t>
    </r>
    <r>
      <rPr>
        <sz val="9"/>
        <rFont val="Times New Roman Cyr"/>
        <family val="1"/>
      </rPr>
      <t>+</t>
    </r>
    <r>
      <rPr>
        <sz val="10"/>
        <rFont val="Times New Roman CYR"/>
        <family val="1"/>
      </rPr>
      <t>h</t>
    </r>
    <r>
      <rPr>
        <sz val="9"/>
        <rFont val="Times New Roman Cyr"/>
        <family val="1"/>
      </rPr>
      <t>) =</t>
    </r>
  </si>
  <si>
    <r>
      <t xml:space="preserve"> 0.0024</t>
    </r>
    <r>
      <rPr>
        <sz val="9"/>
        <rFont val="Times New Roman Cyr"/>
        <family val="1"/>
      </rPr>
      <t>.</t>
    </r>
    <r>
      <rPr>
        <sz val="12"/>
        <rFont val="Times New Roman CYR"/>
        <family val="1"/>
      </rPr>
      <t>z</t>
    </r>
    <r>
      <rPr>
        <vertAlign val="subscript"/>
        <sz val="9"/>
        <rFont val="Times New Roman Cyr"/>
        <family val="1"/>
      </rPr>
      <t>o</t>
    </r>
    <r>
      <rPr>
        <sz val="9"/>
        <rFont val="Times New Roman Cyr"/>
        <family val="1"/>
      </rPr>
      <t xml:space="preserve">( </t>
    </r>
    <r>
      <rPr>
        <sz val="10"/>
        <rFont val="Times New Roman CYR"/>
        <family val="1"/>
      </rPr>
      <t>E</t>
    </r>
    <r>
      <rPr>
        <sz val="9"/>
        <rFont val="Times New Roman Cyr"/>
        <family val="1"/>
      </rPr>
      <t>o -</t>
    </r>
    <r>
      <rPr>
        <sz val="12"/>
        <rFont val="Times New Roman CYR"/>
        <family val="1"/>
      </rPr>
      <t xml:space="preserve"> e</t>
    </r>
    <r>
      <rPr>
        <vertAlign val="subscript"/>
        <sz val="9"/>
        <rFont val="Times New Roman Cyr"/>
        <family val="1"/>
      </rPr>
      <t>н.о</t>
    </r>
    <r>
      <rPr>
        <sz val="9"/>
        <rFont val="Times New Roman Cyr"/>
        <family val="1"/>
      </rPr>
      <t>)</t>
    </r>
    <r>
      <rPr>
        <b/>
        <sz val="14"/>
        <rFont val="Times New Roman Cyr"/>
        <family val="1"/>
      </rPr>
      <t>/</t>
    </r>
    <r>
      <rPr>
        <sz val="10"/>
        <rFont val="Times New Roman CYR"/>
        <family val="1"/>
      </rPr>
      <t>R</t>
    </r>
    <r>
      <rPr>
        <sz val="9"/>
        <rFont val="Times New Roman Cyr"/>
        <family val="1"/>
      </rPr>
      <t>п.н. =</t>
    </r>
  </si>
  <si>
    <t>Обьект:Проспект Ленина д.17</t>
  </si>
  <si>
    <t>V =</t>
  </si>
  <si>
    <t>Среднее суточное количество теплоты суммарной солнечной радиации, поступающей на горизонтальную и вертикальную повехность</t>
  </si>
  <si>
    <t>Широта</t>
  </si>
  <si>
    <t>с</t>
  </si>
  <si>
    <t>св</t>
  </si>
  <si>
    <t>сз</t>
  </si>
  <si>
    <t>в</t>
  </si>
  <si>
    <t>з</t>
  </si>
  <si>
    <t>юв</t>
  </si>
  <si>
    <t>юз</t>
  </si>
  <si>
    <t>ю</t>
  </si>
  <si>
    <t>гориз.</t>
  </si>
  <si>
    <t>Вертикальная повехность</t>
  </si>
  <si>
    <t>Материал наружного слоя</t>
  </si>
  <si>
    <t>Алюминий</t>
  </si>
  <si>
    <t>Асбоцементные листы</t>
  </si>
  <si>
    <t>Асфальтобетон</t>
  </si>
  <si>
    <t>Бетоны</t>
  </si>
  <si>
    <t>Дерево неокрашенное</t>
  </si>
  <si>
    <t>Защитный слой рулонной кровли из светлого гравия</t>
  </si>
  <si>
    <t>Кирпич глиняный красный</t>
  </si>
  <si>
    <t>кирпич силикатный</t>
  </si>
  <si>
    <t>Облицовка природным камнем белым</t>
  </si>
  <si>
    <t>Окраска силикатная темно-серая</t>
  </si>
  <si>
    <t>Окраска известковая белая</t>
  </si>
  <si>
    <t>Плитка керамическая</t>
  </si>
  <si>
    <t>Плитка стеклянная синяя</t>
  </si>
  <si>
    <t>Плитка белая или палевая</t>
  </si>
  <si>
    <t>Рубероид с песчанной посыпкой</t>
  </si>
  <si>
    <t>Сталь листовая - белая</t>
  </si>
  <si>
    <t>Сталь листовая - зеленая</t>
  </si>
  <si>
    <t>Сталь листовая - темнокрасная</t>
  </si>
  <si>
    <t>Сталь кровельная оцинкованная</t>
  </si>
  <si>
    <t>Стекло облицовочное</t>
  </si>
  <si>
    <t>Штукатурка - темносерая или терракотовая</t>
  </si>
  <si>
    <t>Штукатурка цементная светлоголубая</t>
  </si>
  <si>
    <t>Штукатурка цементная темнозеленая</t>
  </si>
  <si>
    <t>Штукатурка цементная кремовая</t>
  </si>
  <si>
    <t>С</t>
  </si>
  <si>
    <t>СВ</t>
  </si>
  <si>
    <t>СЗ</t>
  </si>
  <si>
    <t>В</t>
  </si>
  <si>
    <t>З</t>
  </si>
  <si>
    <t>ЮВ</t>
  </si>
  <si>
    <t>ЮЗ</t>
  </si>
  <si>
    <t>Ю</t>
  </si>
  <si>
    <t>Гориз.</t>
  </si>
  <si>
    <t>верт</t>
  </si>
  <si>
    <t>возд. прослойка</t>
  </si>
  <si>
    <t>Коэффициент b2</t>
  </si>
  <si>
    <t xml:space="preserve">Расчёт периода запаздывания </t>
  </si>
  <si>
    <t>E =</t>
  </si>
  <si>
    <t>-</t>
  </si>
  <si>
    <t>Расчёт условного времени</t>
  </si>
  <si>
    <t>Tусл=</t>
  </si>
  <si>
    <t>+</t>
  </si>
  <si>
    <t>Количество теплоты с учетом запаздывания</t>
  </si>
  <si>
    <t>прямая</t>
  </si>
  <si>
    <t>Рассеянная</t>
  </si>
  <si>
    <t>qср</t>
  </si>
  <si>
    <t>Aq</t>
  </si>
  <si>
    <t>Вт/м2</t>
  </si>
  <si>
    <t>м2</t>
  </si>
  <si>
    <t>новые - по СТО</t>
  </si>
  <si>
    <t xml:space="preserve"> -------Кладка из ячеистых блоков</t>
  </si>
  <si>
    <t>пл. 800 кг/м3 на клею 2-3 мм</t>
  </si>
  <si>
    <t>пл. 600 кг/м3 на клею 2-3 мм</t>
  </si>
  <si>
    <t>пл. 400 кг/м3 на клею 2-3 мм</t>
  </si>
  <si>
    <t>пл. 300 кг/м3 на клею 2-3 мм</t>
  </si>
  <si>
    <t>пл. 800 кг/м3 на тепл.раств.толщ. 12 мм</t>
  </si>
  <si>
    <t>пл. 600 кг/м3 на тепл.раств.толщ. 12 мм</t>
  </si>
  <si>
    <t>пл. 400 кг/м3 на тепл.раств.толщ. 12 мм</t>
  </si>
  <si>
    <t>пл.1000 кг/м3 на цем-песч.раств.толщ. 12 мм</t>
  </si>
  <si>
    <t>пл. 800 кг/м3 на цем-песч.раств.толщ. 12 мм</t>
  </si>
  <si>
    <t>пл. 600 кг/м3 на цем-песч.раств.толщ. 12 мм</t>
  </si>
  <si>
    <t>красным - из СТО</t>
  </si>
  <si>
    <t>кладка из блоков на клею армированных проволочн. армат. (таб.6 СТО)</t>
  </si>
  <si>
    <r>
      <t>o</t>
    </r>
    <r>
      <rPr>
        <sz val="8"/>
        <color indexed="56"/>
        <rFont val="Times New Roman Cyr"/>
        <family val="1"/>
      </rPr>
      <t>C</t>
    </r>
  </si>
  <si>
    <r>
      <t>o</t>
    </r>
    <r>
      <rPr>
        <sz val="8"/>
        <color indexed="56"/>
        <rFont val="Times New Roman Cyr"/>
        <family val="1"/>
      </rPr>
      <t>C   (таб.3 СТО)</t>
    </r>
  </si>
  <si>
    <t>Одесса</t>
  </si>
  <si>
    <t>Россия - I этап(до 2000г)</t>
  </si>
  <si>
    <t>Россия - I I этап(после 2000г)</t>
  </si>
  <si>
    <t>Вариант расчета</t>
  </si>
  <si>
    <t>1. Россия - I этап (до 2000г)</t>
  </si>
  <si>
    <t>3. Украина - из блоков ячеистого бетона (новое строительство)</t>
  </si>
  <si>
    <t>4. Украина - из блоков легкого бетона (новое строительство)</t>
  </si>
  <si>
    <t>5. Украина - эффективная керамика (новое строительство)</t>
  </si>
  <si>
    <t>6. Украина - кирпич+утеплитель (новое строительство)</t>
  </si>
  <si>
    <t>7. Украина - монолит+полимерный утеплитель (новое строительство)</t>
  </si>
  <si>
    <t>8. Украина - монолит+минералловатный утеплитель (новое строительство)</t>
  </si>
  <si>
    <t>1 и 2 варианты</t>
  </si>
  <si>
    <t>3-8 варианты (Украина)</t>
  </si>
  <si>
    <t>колонка</t>
  </si>
  <si>
    <t>строка</t>
  </si>
  <si>
    <t>Новое строительство</t>
  </si>
  <si>
    <t>Наружные стены</t>
  </si>
  <si>
    <t>Из легкобетонных блоков</t>
  </si>
  <si>
    <t>Из эффективной керамики</t>
  </si>
  <si>
    <t>Кирпич+утеплитель</t>
  </si>
  <si>
    <t>Монолит+пенопласт</t>
  </si>
  <si>
    <t>Монолит+мин.ват</t>
  </si>
  <si>
    <t>Из яч. бетонных блоков</t>
  </si>
  <si>
    <t>Ro. тр (Украина)</t>
  </si>
  <si>
    <t>Ro.тр(СНИП) Россия</t>
  </si>
  <si>
    <t>итоговое терм.сопр. ограждающей конструкции с учетом теплотехн. неоднородности</t>
  </si>
  <si>
    <t>минимальное терм. сопр. по санитарным нормам согл. СНИП-II-3-79 п.2.1.)</t>
  </si>
  <si>
    <r>
      <t>m</t>
    </r>
    <r>
      <rPr>
        <vertAlign val="superscript"/>
        <sz val="8"/>
        <color indexed="8"/>
        <rFont val="Times New Roman Cyr"/>
        <family val="0"/>
      </rPr>
      <t>2</t>
    </r>
    <r>
      <rPr>
        <sz val="8"/>
        <color indexed="8"/>
        <rFont val="Times New Roman Cyr"/>
        <family val="0"/>
      </rPr>
      <t>.</t>
    </r>
    <r>
      <rPr>
        <vertAlign val="superscript"/>
        <sz val="8"/>
        <color indexed="8"/>
        <rFont val="Times New Roman Cyr"/>
        <family val="0"/>
      </rPr>
      <t>o</t>
    </r>
    <r>
      <rPr>
        <sz val="8"/>
        <color indexed="8"/>
        <rFont val="Times New Roman Cyr"/>
        <family val="0"/>
      </rPr>
      <t>C/W</t>
    </r>
  </si>
  <si>
    <t>градусосуток</t>
  </si>
  <si>
    <t>минимальное терм. сопр. из условий энергосбережения (согл. СНИП-II-3-79 табл.1а и СП-41-99)</t>
  </si>
  <si>
    <t>минимальное терм. сопр. из условий энергосбережения (согл. Приказа Минстройархитектуры Украины)</t>
  </si>
  <si>
    <t xml:space="preserve">  ограждающая конструция - УДОВЛЕТВОРЯЕТ -  требованиям СНиП II-03-79*</t>
  </si>
  <si>
    <t xml:space="preserve">  ограждающая конструция - УДОВЛЕТВОРЯЕТ - требованиям приказа Минстройархитектуры Украины </t>
  </si>
  <si>
    <t xml:space="preserve">  ограждающая конструция - НЕ УДОВЛЕТВОРЯЕТ - требованиям приказа Минстройархитектуры Украины </t>
  </si>
  <si>
    <t>ред N Россия</t>
  </si>
  <si>
    <t>ред N Украина</t>
  </si>
  <si>
    <r>
      <t>m</t>
    </r>
    <r>
      <rPr>
        <i/>
        <vertAlign val="superscript"/>
        <sz val="9"/>
        <color indexed="8"/>
        <rFont val="Times New Roman Cyr"/>
        <family val="0"/>
      </rPr>
      <t>2</t>
    </r>
    <r>
      <rPr>
        <i/>
        <sz val="9"/>
        <color indexed="8"/>
        <rFont val="Times New Roman Cyr"/>
        <family val="0"/>
      </rPr>
      <t>.</t>
    </r>
    <r>
      <rPr>
        <i/>
        <vertAlign val="superscript"/>
        <sz val="9"/>
        <color indexed="8"/>
        <rFont val="Times New Roman Cyr"/>
        <family val="0"/>
      </rPr>
      <t>o</t>
    </r>
    <r>
      <rPr>
        <i/>
        <sz val="9"/>
        <color indexed="8"/>
        <rFont val="Times New Roman Cyr"/>
        <family val="0"/>
      </rPr>
      <t>C/W</t>
    </r>
  </si>
  <si>
    <t>улица</t>
  </si>
  <si>
    <t>помещение</t>
  </si>
  <si>
    <t xml:space="preserve">  -- ПУСТО --</t>
  </si>
  <si>
    <t xml:space="preserve"> Ro.усл.х rод.=</t>
  </si>
  <si>
    <r>
      <t xml:space="preserve"> n.(tв-tн)/</t>
    </r>
    <r>
      <rPr>
        <i/>
        <sz val="8"/>
        <rFont val="Symbol"/>
        <family val="1"/>
      </rPr>
      <t>D</t>
    </r>
    <r>
      <rPr>
        <i/>
        <sz val="8"/>
        <rFont val="Times New Roman Cyr"/>
        <family val="1"/>
      </rPr>
      <t>t.aн=</t>
    </r>
  </si>
  <si>
    <t>Продолжительность отопительного сезона</t>
  </si>
  <si>
    <t>часов</t>
  </si>
  <si>
    <t>Средняя температура отопительного сезона</t>
  </si>
  <si>
    <t>град</t>
  </si>
  <si>
    <t>Комнатная температура</t>
  </si>
  <si>
    <t>Дельта</t>
  </si>
  <si>
    <t>Термическое сопротивление стены</t>
  </si>
  <si>
    <t>м2*с/вт</t>
  </si>
  <si>
    <t>Тепловой поток</t>
  </si>
  <si>
    <t>вт/м2</t>
  </si>
  <si>
    <t>Квт*час/м3</t>
  </si>
  <si>
    <t>м3</t>
  </si>
  <si>
    <r>
      <t xml:space="preserve">В декабре Министерство юстиции зарегистрировало соответствующее постановление Национальной комиссии регулирования электроэнергетики (НКРЭ) Украины ь1672 от </t>
    </r>
    <r>
      <rPr>
        <b/>
        <i/>
        <sz val="9"/>
        <color indexed="8"/>
        <rFont val="Verdana"/>
        <family val="2"/>
      </rPr>
      <t>19 декабря</t>
    </r>
  </si>
  <si>
    <t>При расчете розничных цен на природный газ для потребностей населения дифференцированы тарифы в зависимости от объемов годового потребления и наличия (отсутствия) у абонента счетчика (при отсутствии прибора учета розничная цена увеличивается на 10%).</t>
  </si>
  <si>
    <t>НКРЭ осуществляет государственное регулирование деятельности субъектов природных монополий в электроэнергетике и нефтегазовом комплексе, обеспечивает проведение ценовой и тарифной политики.</t>
  </si>
  <si>
    <t>Новые цены на природный газ для населения, утвержденные НКРЭ (грн за 1 тыс. куб. м)</t>
  </si>
  <si>
    <t>Годовой объем потребления   при наличии счетчика   при отсутствии счетчика</t>
  </si>
  <si>
    <t>- не более 2,5 тыс. куб. м     315,0                   345,0</t>
  </si>
  <si>
    <t>- не более 6 тыс. куб. м       478,0                   526,0</t>
  </si>
  <si>
    <t>- не более 12 тыс. куб. м      980,0                 1 078,0</t>
  </si>
  <si>
    <t>- более 12 тыс. куб. м       1 173,0                 1 290,0</t>
  </si>
  <si>
    <t>Плошадь наружных стен дома</t>
  </si>
  <si>
    <t>К.П.Д. отопительного котла</t>
  </si>
  <si>
    <t>стоимость газа</t>
  </si>
  <si>
    <t>Теплотв. способность газа</t>
  </si>
  <si>
    <t>(8000 Ккал/м3)</t>
  </si>
  <si>
    <t>Суммарные теплопотери через стены за отопительный период</t>
  </si>
  <si>
    <t>Квт</t>
  </si>
  <si>
    <t>Расход газа на компенсацию теплопотерь через стены за год</t>
  </si>
  <si>
    <t>потребление газа не более 6000 м3</t>
  </si>
  <si>
    <t>потребление газа не более 12000 м3</t>
  </si>
  <si>
    <t>потребление газа более 12000 м3</t>
  </si>
  <si>
    <t>Styrodur 500C (BASF) 45 кг/м3</t>
  </si>
  <si>
    <t>Stiropor PS30 (BASF) 30 кг/м3</t>
  </si>
  <si>
    <t>Следовательно ограждающая конструция     -УДОВЛЕТВОРЯЕТ -    требованиям СНиП II-03-79* , п.6.1.  так как:</t>
  </si>
  <si>
    <t>Следовательно ограждающая конструция     - НЕ УДОВЛЕТВОРЯЕТ -    требованиям СНиП II-03-79* , п.6.1.  так как:</t>
  </si>
  <si>
    <t xml:space="preserve">  ограждающая конструция - НЕ УДОВЛЕТВОРЯЕТ -  требованиям СНиП II-03-79*</t>
  </si>
  <si>
    <t>2. Россия - II этап (после 2000г)</t>
  </si>
  <si>
    <t>(таб.6 СТО)</t>
  </si>
  <si>
    <t>руб/м3</t>
  </si>
  <si>
    <t>руб</t>
  </si>
  <si>
    <t>евро</t>
  </si>
  <si>
    <t>евро/м3</t>
  </si>
  <si>
    <t>Только для Украины, пока…</t>
  </si>
  <si>
    <t xml:space="preserve">   &gt; Питер, с 01.10.2009</t>
  </si>
  <si>
    <t>согл. графика пересечения линий "Е" и "е", плоскость возможной конденсаций находится на границе слоев  -</t>
  </si>
  <si>
    <t xml:space="preserve"> Nслой конденс.</t>
  </si>
  <si>
    <r>
      <t xml:space="preserve">+  </t>
    </r>
    <r>
      <rPr>
        <sz val="8"/>
        <color indexed="10"/>
        <rFont val="Symbol"/>
        <family val="1"/>
      </rPr>
      <t>d</t>
    </r>
    <r>
      <rPr>
        <sz val="8"/>
        <color indexed="10"/>
        <rFont val="Times New Roman Cyr"/>
        <family val="1"/>
      </rPr>
      <t>1</t>
    </r>
  </si>
  <si>
    <t>Расход эл-ва на компенсацию теплопотерь через стены за год</t>
  </si>
  <si>
    <t>евро/кВт/ч</t>
  </si>
  <si>
    <t>стоимость эл-ва</t>
  </si>
  <si>
    <t>кВт/час</t>
  </si>
  <si>
    <t>потребление газа не более 2500 м3</t>
  </si>
  <si>
    <t>Расход эл-ва ТН (СОР 4) …….....теплопотерь через стены за год</t>
  </si>
  <si>
    <t>Сосна и ель(поперек волок.)</t>
  </si>
  <si>
    <t>Сосна и ель(вдоль волок.)</t>
  </si>
  <si>
    <r>
      <t>t</t>
    </r>
    <r>
      <rPr>
        <sz val="8"/>
        <rFont val="Symbol"/>
        <family val="1"/>
      </rPr>
      <t>6,7</t>
    </r>
  </si>
  <si>
    <t>+  d7</t>
  </si>
  <si>
    <t>/l7 +</t>
  </si>
  <si>
    <t>l7</t>
  </si>
  <si>
    <t>d7</t>
  </si>
  <si>
    <t>/m7 +</t>
  </si>
  <si>
    <t>упр.на гран.слоях 6/7</t>
  </si>
  <si>
    <t>{ев-(ев-ез).(Rп1+Rп2+Rп3+Rп4+Rп5+Rп6}/Rпo=</t>
  </si>
  <si>
    <r>
      <t xml:space="preserve"> </t>
    </r>
    <r>
      <rPr>
        <sz val="18"/>
        <color indexed="9"/>
        <rFont val="Symbol"/>
        <family val="1"/>
      </rPr>
      <t>l6</t>
    </r>
  </si>
  <si>
    <r>
      <t xml:space="preserve"> </t>
    </r>
    <r>
      <rPr>
        <sz val="18"/>
        <color indexed="9"/>
        <rFont val="Symbol"/>
        <family val="1"/>
      </rPr>
      <t>l5</t>
    </r>
  </si>
  <si>
    <r>
      <t xml:space="preserve"> </t>
    </r>
    <r>
      <rPr>
        <sz val="18"/>
        <color indexed="9"/>
        <rFont val="Symbol"/>
        <family val="1"/>
      </rPr>
      <t>l4</t>
    </r>
  </si>
  <si>
    <r>
      <t xml:space="preserve"> </t>
    </r>
    <r>
      <rPr>
        <sz val="18"/>
        <color indexed="9"/>
        <rFont val="Symbol"/>
        <family val="1"/>
      </rPr>
      <t>l3</t>
    </r>
  </si>
  <si>
    <r>
      <t xml:space="preserve"> </t>
    </r>
    <r>
      <rPr>
        <sz val="18"/>
        <color indexed="9"/>
        <rFont val="Symbol"/>
        <family val="1"/>
      </rPr>
      <t>l2</t>
    </r>
  </si>
  <si>
    <r>
      <t xml:space="preserve"> </t>
    </r>
    <r>
      <rPr>
        <sz val="18"/>
        <color indexed="9"/>
        <rFont val="Symbol"/>
        <family val="1"/>
      </rPr>
      <t>l</t>
    </r>
    <r>
      <rPr>
        <sz val="18"/>
        <color indexed="9"/>
        <rFont val="Times New Roman CYR"/>
        <family val="1"/>
      </rPr>
      <t>1</t>
    </r>
  </si>
  <si>
    <r>
      <t xml:space="preserve"> </t>
    </r>
    <r>
      <rPr>
        <sz val="18"/>
        <color indexed="9"/>
        <rFont val="Symbol"/>
        <family val="1"/>
      </rPr>
      <t>l</t>
    </r>
    <r>
      <rPr>
        <sz val="18"/>
        <color indexed="9"/>
        <rFont val="Times New Roman CYR"/>
        <family val="1"/>
      </rPr>
      <t>мин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</si>
</sst>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0"/>
    <numFmt numFmtId="191" formatCode="#,##0.000;[Red]\-#,##0.000"/>
    <numFmt numFmtId="192" formatCode="0.0000"/>
    <numFmt numFmtId="193" formatCode="0.00000"/>
    <numFmt numFmtId="194" formatCode="0.000000"/>
    <numFmt numFmtId="195" formatCode="0.0000000"/>
    <numFmt numFmtId="196" formatCode="0.0E+00"/>
    <numFmt numFmtId="197" formatCode="0E+00"/>
    <numFmt numFmtId="198" formatCode="0.000E+00"/>
    <numFmt numFmtId="199" formatCode="#,##0.0"/>
    <numFmt numFmtId="200" formatCode="0.00000000"/>
    <numFmt numFmtId="201" formatCode="0.000000000"/>
    <numFmt numFmtId="202" formatCode="0.0000000000"/>
    <numFmt numFmtId="203" formatCode="0.00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1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bar"/>
      <family val="2"/>
    </font>
    <font>
      <sz val="10"/>
      <name val="Symbol"/>
      <family val="1"/>
    </font>
    <font>
      <sz val="12"/>
      <name val="Symbol"/>
      <family val="1"/>
    </font>
    <font>
      <sz val="10"/>
      <color indexed="8"/>
      <name val="Symbol"/>
      <family val="1"/>
    </font>
    <font>
      <sz val="9"/>
      <name val="MS Sans Serif"/>
      <family val="0"/>
    </font>
    <font>
      <sz val="8"/>
      <name val="Hebar"/>
      <family val="2"/>
    </font>
    <font>
      <sz val="8"/>
      <name val="MS Sans Serif"/>
      <family val="0"/>
    </font>
    <font>
      <sz val="8"/>
      <color indexed="12"/>
      <name val="Symbol"/>
      <family val="1"/>
    </font>
    <font>
      <sz val="8"/>
      <name val="Symbol"/>
      <family val="1"/>
    </font>
    <font>
      <sz val="8"/>
      <color indexed="33"/>
      <name val="Symbol"/>
      <family val="1"/>
    </font>
    <font>
      <sz val="8"/>
      <color indexed="10"/>
      <name val="Symbol"/>
      <family val="1"/>
    </font>
    <font>
      <sz val="8"/>
      <color indexed="8"/>
      <name val="Hebar"/>
      <family val="2"/>
    </font>
    <font>
      <b/>
      <sz val="12"/>
      <name val="Symbol"/>
      <family val="1"/>
    </font>
    <font>
      <vertAlign val="superscript"/>
      <sz val="10"/>
      <name val="MS Sans Serif"/>
      <family val="2"/>
    </font>
    <font>
      <sz val="9"/>
      <name val="Symbol"/>
      <family val="1"/>
    </font>
    <font>
      <sz val="10"/>
      <name val="CourierCyr"/>
      <family val="3"/>
    </font>
    <font>
      <sz val="8"/>
      <name val="CourierCyr"/>
      <family val="3"/>
    </font>
    <font>
      <sz val="8"/>
      <color indexed="8"/>
      <name val="CourierCyr"/>
      <family val="3"/>
    </font>
    <font>
      <sz val="10"/>
      <color indexed="8"/>
      <name val="CourierCyr"/>
      <family val="3"/>
    </font>
    <font>
      <b/>
      <sz val="10"/>
      <name val="CourierCyr"/>
      <family val="3"/>
    </font>
    <font>
      <b/>
      <sz val="8"/>
      <name val="CourierCyr"/>
      <family val="3"/>
    </font>
    <font>
      <sz val="8"/>
      <color indexed="8"/>
      <name val="TmsCyr"/>
      <family val="1"/>
    </font>
    <font>
      <sz val="8"/>
      <name val="TmsCyr"/>
      <family val="1"/>
    </font>
    <font>
      <sz val="10"/>
      <name val="TmsCyr"/>
      <family val="1"/>
    </font>
    <font>
      <sz val="10"/>
      <color indexed="8"/>
      <name val="TmsCyr"/>
      <family val="1"/>
    </font>
    <font>
      <b/>
      <sz val="9"/>
      <name val="TmsCyr"/>
      <family val="1"/>
    </font>
    <font>
      <sz val="9"/>
      <name val="TmsCyr"/>
      <family val="1"/>
    </font>
    <font>
      <sz val="9"/>
      <color indexed="8"/>
      <name val="TmsCyr"/>
      <family val="1"/>
    </font>
    <font>
      <b/>
      <sz val="8"/>
      <color indexed="8"/>
      <name val="CourierCyr"/>
      <family val="3"/>
    </font>
    <font>
      <sz val="9"/>
      <name val="CourierCyr"/>
      <family val="3"/>
    </font>
    <font>
      <vertAlign val="superscript"/>
      <sz val="10"/>
      <name val="CourierCyr"/>
      <family val="3"/>
    </font>
    <font>
      <sz val="10"/>
      <color indexed="10"/>
      <name val="CourierCyr"/>
      <family val="3"/>
    </font>
    <font>
      <b/>
      <sz val="10"/>
      <color indexed="8"/>
      <name val="Symbol"/>
      <family val="1"/>
    </font>
    <font>
      <sz val="10"/>
      <name val="OldCyr"/>
      <family val="2"/>
    </font>
    <font>
      <vertAlign val="superscript"/>
      <sz val="9"/>
      <name val="CourierCyr"/>
      <family val="3"/>
    </font>
    <font>
      <b/>
      <sz val="10"/>
      <color indexed="8"/>
      <name val="CourierCyr"/>
      <family val="3"/>
    </font>
    <font>
      <sz val="10"/>
      <name val="Times New Roman CYR"/>
      <family val="1"/>
    </font>
    <font>
      <sz val="10"/>
      <color indexed="63"/>
      <name val="Times New Roman Cyr"/>
      <family val="1"/>
    </font>
    <font>
      <sz val="10"/>
      <color indexed="8"/>
      <name val="Times New Roman Cyr"/>
      <family val="1"/>
    </font>
    <font>
      <b/>
      <sz val="10"/>
      <name val="Times New Roman CYR"/>
      <family val="1"/>
    </font>
    <font>
      <sz val="8"/>
      <color indexed="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1"/>
      <color indexed="8"/>
      <name val="Times New Roman Cyr"/>
      <family val="1"/>
    </font>
    <font>
      <b/>
      <sz val="9"/>
      <name val="Times New Roman Cyr"/>
      <family val="1"/>
    </font>
    <font>
      <sz val="8"/>
      <name val="Courier New Cyr"/>
      <family val="3"/>
    </font>
    <font>
      <b/>
      <sz val="8"/>
      <name val="Times New Roman Cyr"/>
      <family val="0"/>
    </font>
    <font>
      <vertAlign val="superscript"/>
      <sz val="8"/>
      <name val="Times New Roman Cyr"/>
      <family val="0"/>
    </font>
    <font>
      <sz val="9"/>
      <name val="Courier New Cyr"/>
      <family val="3"/>
    </font>
    <font>
      <sz val="9"/>
      <color indexed="10"/>
      <name val="Times New Roman Cyr"/>
      <family val="1"/>
    </font>
    <font>
      <sz val="8"/>
      <color indexed="33"/>
      <name val="Times New Roman Cyr"/>
      <family val="1"/>
    </font>
    <font>
      <sz val="8"/>
      <color indexed="10"/>
      <name val="Times New Roman Cyr"/>
      <family val="1"/>
    </font>
    <font>
      <sz val="8"/>
      <color indexed="12"/>
      <name val="Times New Roman Cyr"/>
      <family val="1"/>
    </font>
    <font>
      <sz val="8"/>
      <color indexed="14"/>
      <name val="Times New Roman Cyr"/>
      <family val="1"/>
    </font>
    <font>
      <b/>
      <sz val="8"/>
      <color indexed="10"/>
      <name val="Times New Roman Cyr"/>
      <family val="1"/>
    </font>
    <font>
      <vertAlign val="superscript"/>
      <sz val="10"/>
      <name val="Times New Roman CYR"/>
      <family val="1"/>
    </font>
    <font>
      <vertAlign val="subscript"/>
      <sz val="8"/>
      <name val="Times New Roman Cyr"/>
      <family val="1"/>
    </font>
    <font>
      <b/>
      <sz val="9"/>
      <color indexed="10"/>
      <name val="Times New Roman Cyr"/>
      <family val="1"/>
    </font>
    <font>
      <b/>
      <sz val="8"/>
      <color indexed="8"/>
      <name val="Times New Roman Cyr"/>
      <family val="1"/>
    </font>
    <font>
      <b/>
      <vertAlign val="superscript"/>
      <sz val="8"/>
      <color indexed="8"/>
      <name val="Times New Roman Cyr"/>
      <family val="1"/>
    </font>
    <font>
      <sz val="10"/>
      <color indexed="10"/>
      <name val="Times New Roman CYR"/>
      <family val="1"/>
    </font>
    <font>
      <sz val="8"/>
      <color indexed="63"/>
      <name val="Times New Roman Cyr"/>
      <family val="1"/>
    </font>
    <font>
      <sz val="8"/>
      <color indexed="16"/>
      <name val="Times New Roman Cyr"/>
      <family val="1"/>
    </font>
    <font>
      <vertAlign val="subscript"/>
      <sz val="9"/>
      <name val="Times New Roman Cyr"/>
      <family val="1"/>
    </font>
    <font>
      <vertAlign val="superscript"/>
      <sz val="9"/>
      <name val="Times New Roman Cyr"/>
      <family val="1"/>
    </font>
    <font>
      <vertAlign val="subscript"/>
      <sz val="8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vertAlign val="superscript"/>
      <sz val="9"/>
      <color indexed="8"/>
      <name val="Times New Roman Cyr"/>
      <family val="1"/>
    </font>
    <font>
      <sz val="9"/>
      <color indexed="10"/>
      <name val="Symbol"/>
      <family val="1"/>
    </font>
    <font>
      <sz val="9"/>
      <color indexed="12"/>
      <name val="Symbol"/>
      <family val="1"/>
    </font>
    <font>
      <sz val="9"/>
      <color indexed="14"/>
      <name val="Times New Roman Cyr"/>
      <family val="1"/>
    </font>
    <font>
      <vertAlign val="superscript"/>
      <sz val="9"/>
      <color indexed="8"/>
      <name val="Times New Roman Cyr"/>
      <family val="1"/>
    </font>
    <font>
      <sz val="9"/>
      <color indexed="8"/>
      <name val="Symbol"/>
      <family val="1"/>
    </font>
    <font>
      <vertAlign val="subscript"/>
      <sz val="9"/>
      <color indexed="8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u val="single"/>
      <sz val="9"/>
      <name val="Times New Roman Cyr"/>
      <family val="1"/>
    </font>
    <font>
      <b/>
      <vertAlign val="superscript"/>
      <sz val="9"/>
      <name val="Times New Roman Cyr"/>
      <family val="1"/>
    </font>
    <font>
      <vertAlign val="subscript"/>
      <sz val="10"/>
      <name val="Times New Roman Cyr"/>
      <family val="1"/>
    </font>
    <font>
      <sz val="9"/>
      <color indexed="12"/>
      <name val="Times New Roman Cyr"/>
      <family val="1"/>
    </font>
    <font>
      <b/>
      <sz val="9"/>
      <name val="Hebar"/>
      <family val="0"/>
    </font>
    <font>
      <sz val="10"/>
      <color indexed="10"/>
      <name val="MS Sans Serif"/>
      <family val="2"/>
    </font>
    <font>
      <b/>
      <sz val="9"/>
      <color indexed="8"/>
      <name val="CourierCyr"/>
      <family val="3"/>
    </font>
    <font>
      <b/>
      <sz val="9"/>
      <name val="Symbol"/>
      <family val="1"/>
    </font>
    <font>
      <sz val="9"/>
      <color indexed="10"/>
      <name val="CourierCyr"/>
      <family val="3"/>
    </font>
    <font>
      <sz val="9"/>
      <color indexed="63"/>
      <name val="Times New Roman Cyr"/>
      <family val="1"/>
    </font>
    <font>
      <b/>
      <vertAlign val="subscript"/>
      <sz val="9"/>
      <name val="Times New Roman Cyr"/>
      <family val="1"/>
    </font>
    <font>
      <sz val="10"/>
      <name val="Courier New Cyr"/>
      <family val="3"/>
    </font>
    <font>
      <b/>
      <vertAlign val="superscript"/>
      <sz val="10"/>
      <name val="Times New Roman Cyr"/>
      <family val="1"/>
    </font>
    <font>
      <sz val="9"/>
      <color indexed="9"/>
      <name val="Courier New Cyr"/>
      <family val="3"/>
    </font>
    <font>
      <sz val="10"/>
      <color indexed="9"/>
      <name val="Courier New Cyr"/>
      <family val="3"/>
    </font>
    <font>
      <sz val="9"/>
      <color indexed="9"/>
      <name val="Times New Roman Cyr"/>
      <family val="1"/>
    </font>
    <font>
      <b/>
      <sz val="9"/>
      <color indexed="9"/>
      <name val="Times New Roman Cyr"/>
      <family val="1"/>
    </font>
    <font>
      <sz val="10"/>
      <color indexed="9"/>
      <name val="Times New Roman Cyr"/>
      <family val="1"/>
    </font>
    <font>
      <sz val="9"/>
      <color indexed="9"/>
      <name val="MS Sans Serif"/>
      <family val="0"/>
    </font>
    <font>
      <sz val="9"/>
      <color indexed="9"/>
      <name val="Symbol"/>
      <family val="1"/>
    </font>
    <font>
      <sz val="9"/>
      <color indexed="9"/>
      <name val="TmsCyr"/>
      <family val="1"/>
    </font>
    <font>
      <sz val="10"/>
      <color indexed="9"/>
      <name val="MS Sans Serif"/>
      <family val="0"/>
    </font>
    <font>
      <sz val="8"/>
      <color indexed="9"/>
      <name val="Times New Roman Cyr"/>
      <family val="1"/>
    </font>
    <font>
      <b/>
      <sz val="10"/>
      <color indexed="9"/>
      <name val="Times New Roman Cyr"/>
      <family val="1"/>
    </font>
    <font>
      <sz val="12"/>
      <name val="Times New Roman CYR"/>
      <family val="1"/>
    </font>
    <font>
      <sz val="9"/>
      <color indexed="10"/>
      <name val="Courier New Cyr"/>
      <family val="3"/>
    </font>
    <font>
      <b/>
      <vertAlign val="subscript"/>
      <sz val="10"/>
      <name val="Times New Roman Cyr"/>
      <family val="1"/>
    </font>
    <font>
      <vertAlign val="superscript"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Symbol"/>
      <family val="1"/>
    </font>
    <font>
      <b/>
      <vertAlign val="subscript"/>
      <sz val="8"/>
      <name val="Times New Roman CYR"/>
      <family val="1"/>
    </font>
    <font>
      <b/>
      <vertAlign val="subscript"/>
      <sz val="11"/>
      <name val="Times New Roman Cyr"/>
      <family val="1"/>
    </font>
    <font>
      <sz val="9"/>
      <color indexed="8"/>
      <name val="CourierCyr"/>
      <family val="3"/>
    </font>
    <font>
      <sz val="9"/>
      <color indexed="8"/>
      <name val="Courier New Cyr"/>
      <family val="3"/>
    </font>
    <font>
      <sz val="10"/>
      <name val="Times New Roman Greek"/>
      <family val="1"/>
    </font>
    <font>
      <b/>
      <sz val="14"/>
      <name val="Times New Roman CYR"/>
      <family val="0"/>
    </font>
    <font>
      <vertAlign val="superscript"/>
      <sz val="10"/>
      <color indexed="8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 Cyr"/>
      <family val="1"/>
    </font>
    <font>
      <b/>
      <sz val="10"/>
      <color indexed="10"/>
      <name val="Times New Roman CYR"/>
      <family val="1"/>
    </font>
    <font>
      <sz val="10"/>
      <name val="Microsoft Sans Serif"/>
      <family val="2"/>
    </font>
    <font>
      <sz val="10"/>
      <color indexed="8"/>
      <name val="Microsoft Sans Serif"/>
      <family val="2"/>
    </font>
    <font>
      <u val="single"/>
      <sz val="13.5"/>
      <color indexed="10"/>
      <name val="MS Sans Serif"/>
      <family val="2"/>
    </font>
    <font>
      <u val="single"/>
      <sz val="13.5"/>
      <name val="MS Sans Serif"/>
      <family val="2"/>
    </font>
    <font>
      <u val="single"/>
      <sz val="13.5"/>
      <name val="CourierCyr"/>
      <family val="3"/>
    </font>
    <font>
      <vertAlign val="superscript"/>
      <sz val="8"/>
      <color indexed="56"/>
      <name val="Times New Roman Cyr"/>
      <family val="1"/>
    </font>
    <font>
      <sz val="8"/>
      <color indexed="56"/>
      <name val="Times New Roman Cyr"/>
      <family val="1"/>
    </font>
    <font>
      <sz val="10"/>
      <color indexed="56"/>
      <name val="Times New Roman Cyr"/>
      <family val="1"/>
    </font>
    <font>
      <i/>
      <sz val="8"/>
      <color indexed="56"/>
      <name val="Times New Roman Cyr"/>
      <family val="1"/>
    </font>
    <font>
      <sz val="10"/>
      <color indexed="14"/>
      <name val="Times New Roman CYR"/>
      <family val="0"/>
    </font>
    <font>
      <sz val="10"/>
      <color indexed="12"/>
      <name val="Times New Roman CYR"/>
      <family val="0"/>
    </font>
    <font>
      <sz val="12"/>
      <color indexed="10"/>
      <name val="Times New Roman"/>
      <family val="1"/>
    </font>
    <font>
      <sz val="10"/>
      <color indexed="56"/>
      <name val="MS Sans Serif"/>
      <family val="0"/>
    </font>
    <font>
      <sz val="8"/>
      <color indexed="56"/>
      <name val="Times New Roman"/>
      <family val="1"/>
    </font>
    <font>
      <vertAlign val="superscript"/>
      <sz val="8"/>
      <color indexed="8"/>
      <name val="Times New Roman Cyr"/>
      <family val="0"/>
    </font>
    <font>
      <sz val="9"/>
      <color indexed="17"/>
      <name val="Times New Roman Cyr"/>
      <family val="0"/>
    </font>
    <font>
      <i/>
      <sz val="8"/>
      <name val="Times New Roman Cyr"/>
      <family val="1"/>
    </font>
    <font>
      <i/>
      <sz val="9"/>
      <name val="Times New Roman Cyr"/>
      <family val="0"/>
    </font>
    <font>
      <i/>
      <sz val="9"/>
      <color indexed="8"/>
      <name val="Times New Roman Cyr"/>
      <family val="0"/>
    </font>
    <font>
      <i/>
      <vertAlign val="superscript"/>
      <sz val="9"/>
      <color indexed="8"/>
      <name val="Times New Roman Cyr"/>
      <family val="0"/>
    </font>
    <font>
      <b/>
      <i/>
      <sz val="8"/>
      <name val="Times New Roman Cyr"/>
      <family val="1"/>
    </font>
    <font>
      <i/>
      <sz val="8"/>
      <name val="Symbol"/>
      <family val="1"/>
    </font>
    <font>
      <i/>
      <sz val="8"/>
      <name val="MS Sans Serif"/>
      <family val="0"/>
    </font>
    <font>
      <i/>
      <sz val="9"/>
      <name val="MS Sans Serif"/>
      <family val="0"/>
    </font>
    <font>
      <i/>
      <sz val="9"/>
      <name val="TmsCyr"/>
      <family val="1"/>
    </font>
    <font>
      <i/>
      <sz val="9"/>
      <color indexed="8"/>
      <name val="TmsCyr"/>
      <family val="1"/>
    </font>
    <font>
      <i/>
      <sz val="10"/>
      <name val="Times New Roman CYR"/>
      <family val="0"/>
    </font>
    <font>
      <sz val="8"/>
      <color indexed="10"/>
      <name val="CourierCyr"/>
      <family val="3"/>
    </font>
    <font>
      <sz val="8"/>
      <color indexed="56"/>
      <name val="CourierCyr"/>
      <family val="3"/>
    </font>
    <font>
      <sz val="10"/>
      <name val="Arial"/>
      <family val="2"/>
    </font>
    <font>
      <i/>
      <sz val="8"/>
      <color indexed="8"/>
      <name val="Times New Roman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10"/>
      <color indexed="8"/>
      <name val="Verdana"/>
      <family val="2"/>
    </font>
    <font>
      <sz val="8.5"/>
      <name val="MS Sans Serif"/>
      <family val="0"/>
    </font>
    <font>
      <sz val="10"/>
      <color indexed="56"/>
      <name val="Arial Cyr"/>
      <family val="0"/>
    </font>
    <font>
      <sz val="8"/>
      <color indexed="12"/>
      <name val="Arial Cyr"/>
      <family val="0"/>
    </font>
    <font>
      <sz val="10"/>
      <color indexed="16"/>
      <name val="MS Sans Serif"/>
      <family val="0"/>
    </font>
    <font>
      <b/>
      <sz val="9"/>
      <color indexed="17"/>
      <name val="MS Sans Serif"/>
      <family val="2"/>
    </font>
    <font>
      <sz val="10"/>
      <color indexed="17"/>
      <name val="Times New Roman CYR"/>
      <family val="0"/>
    </font>
    <font>
      <sz val="8"/>
      <name val="Tahoma"/>
      <family val="2"/>
    </font>
    <font>
      <b/>
      <sz val="12"/>
      <color indexed="10"/>
      <name val="MS Sans Serif"/>
      <family val="2"/>
    </font>
    <font>
      <sz val="18"/>
      <color indexed="9"/>
      <name val="Times New Roman CYR"/>
      <family val="1"/>
    </font>
    <font>
      <b/>
      <sz val="18"/>
      <color indexed="9"/>
      <name val="Times New Roman Cyr"/>
      <family val="1"/>
    </font>
    <font>
      <vertAlign val="superscript"/>
      <sz val="18"/>
      <color indexed="9"/>
      <name val="Times New Roman CYR"/>
      <family val="1"/>
    </font>
    <font>
      <sz val="18"/>
      <color indexed="9"/>
      <name val="MS Sans Serif"/>
      <family val="0"/>
    </font>
    <font>
      <sz val="18"/>
      <color indexed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13">
    <xf numFmtId="0" fontId="0" fillId="0" borderId="0" xfId="0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 quotePrefix="1">
      <alignment horizontal="right"/>
      <protection/>
    </xf>
    <xf numFmtId="0" fontId="11" fillId="0" borderId="0" xfId="0" applyFont="1" applyAlignment="1" applyProtection="1" quotePrefix="1">
      <alignment horizontal="left"/>
      <protection/>
    </xf>
    <xf numFmtId="188" fontId="13" fillId="0" borderId="0" xfId="0" applyNumberFormat="1" applyFont="1" applyAlignment="1" applyProtection="1" quotePrefix="1">
      <alignment horizontal="center"/>
      <protection/>
    </xf>
    <xf numFmtId="0" fontId="14" fillId="0" borderId="0" xfId="0" applyFont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 quotePrefix="1">
      <alignment horizontal="center"/>
      <protection/>
    </xf>
    <xf numFmtId="9" fontId="0" fillId="0" borderId="1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88" fontId="8" fillId="0" borderId="0" xfId="0" applyNumberFormat="1" applyFont="1" applyBorder="1" applyAlignment="1" applyProtection="1">
      <alignment/>
      <protection/>
    </xf>
    <xf numFmtId="189" fontId="8" fillId="0" borderId="0" xfId="0" applyNumberFormat="1" applyFont="1" applyAlignment="1" applyProtection="1">
      <alignment/>
      <protection/>
    </xf>
    <xf numFmtId="12" fontId="4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/>
    </xf>
    <xf numFmtId="0" fontId="0" fillId="0" borderId="7" xfId="0" applyBorder="1" applyAlignment="1">
      <alignment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9" fontId="26" fillId="0" borderId="0" xfId="0" applyNumberFormat="1" applyFont="1" applyAlignment="1" applyProtection="1">
      <alignment/>
      <protection/>
    </xf>
    <xf numFmtId="188" fontId="26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6" fillId="0" borderId="0" xfId="0" applyFont="1" applyBorder="1" applyAlignment="1" applyProtection="1">
      <alignment/>
      <protection/>
    </xf>
    <xf numFmtId="1" fontId="25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89" fontId="19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9" fontId="19" fillId="0" borderId="0" xfId="0" applyNumberFormat="1" applyFont="1" applyFill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/>
      <protection/>
    </xf>
    <xf numFmtId="188" fontId="32" fillId="0" borderId="0" xfId="0" applyNumberFormat="1" applyFont="1" applyFill="1" applyBorder="1" applyAlignment="1" applyProtection="1">
      <alignment/>
      <protection/>
    </xf>
    <xf numFmtId="188" fontId="20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/>
      <protection/>
    </xf>
    <xf numFmtId="189" fontId="20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>
      <alignment/>
      <protection/>
    </xf>
    <xf numFmtId="188" fontId="35" fillId="0" borderId="0" xfId="0" applyNumberFormat="1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89" fontId="20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Border="1" applyAlignment="1" applyProtection="1" quotePrefix="1">
      <alignment horizontal="left"/>
      <protection/>
    </xf>
    <xf numFmtId="0" fontId="3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188" fontId="20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188" fontId="19" fillId="0" borderId="0" xfId="0" applyNumberFormat="1" applyFont="1" applyAlignment="1">
      <alignment/>
    </xf>
    <xf numFmtId="189" fontId="19" fillId="0" borderId="0" xfId="0" applyNumberFormat="1" applyFont="1" applyAlignment="1">
      <alignment/>
    </xf>
    <xf numFmtId="189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" fontId="2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8" fontId="19" fillId="0" borderId="0" xfId="0" applyNumberFormat="1" applyFont="1" applyAlignment="1" applyProtection="1">
      <alignment/>
      <protection locked="0"/>
    </xf>
    <xf numFmtId="188" fontId="24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189" fontId="19" fillId="0" borderId="0" xfId="0" applyNumberFormat="1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188" fontId="40" fillId="0" borderId="1" xfId="0" applyNumberFormat="1" applyFont="1" applyBorder="1" applyAlignment="1" applyProtection="1">
      <alignment horizontal="left"/>
      <protection locked="0"/>
    </xf>
    <xf numFmtId="188" fontId="41" fillId="0" borderId="1" xfId="0" applyNumberFormat="1" applyFont="1" applyBorder="1" applyAlignment="1" applyProtection="1">
      <alignment/>
      <protection locked="0"/>
    </xf>
    <xf numFmtId="188" fontId="40" fillId="0" borderId="1" xfId="0" applyNumberFormat="1" applyFont="1" applyBorder="1" applyAlignment="1" applyProtection="1">
      <alignment/>
      <protection locked="0"/>
    </xf>
    <xf numFmtId="0" fontId="40" fillId="0" borderId="1" xfId="0" applyFont="1" applyBorder="1" applyAlignment="1">
      <alignment/>
    </xf>
    <xf numFmtId="191" fontId="43" fillId="0" borderId="1" xfId="18" applyNumberFormat="1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91" fontId="40" fillId="0" borderId="1" xfId="18" applyNumberFormat="1" applyFont="1" applyBorder="1" applyAlignment="1" applyProtection="1">
      <alignment/>
      <protection locked="0"/>
    </xf>
    <xf numFmtId="191" fontId="41" fillId="0" borderId="1" xfId="18" applyNumberFormat="1" applyFont="1" applyBorder="1" applyAlignment="1" applyProtection="1">
      <alignment horizontal="right"/>
      <protection locked="0"/>
    </xf>
    <xf numFmtId="191" fontId="40" fillId="0" borderId="1" xfId="18" applyNumberFormat="1" applyFont="1" applyBorder="1" applyAlignment="1" applyProtection="1">
      <alignment horizontal="right"/>
      <protection locked="0"/>
    </xf>
    <xf numFmtId="188" fontId="40" fillId="0" borderId="0" xfId="0" applyNumberFormat="1" applyFont="1" applyAlignment="1">
      <alignment/>
    </xf>
    <xf numFmtId="0" fontId="43" fillId="0" borderId="0" xfId="0" applyFont="1" applyAlignment="1">
      <alignment/>
    </xf>
    <xf numFmtId="188" fontId="43" fillId="0" borderId="0" xfId="0" applyNumberFormat="1" applyFont="1" applyAlignment="1">
      <alignment/>
    </xf>
    <xf numFmtId="0" fontId="45" fillId="0" borderId="2" xfId="0" applyFont="1" applyBorder="1" applyAlignment="1" quotePrefix="1">
      <alignment horizontal="left"/>
    </xf>
    <xf numFmtId="0" fontId="45" fillId="0" borderId="7" xfId="0" applyFont="1" applyBorder="1" applyAlignment="1">
      <alignment/>
    </xf>
    <xf numFmtId="0" fontId="45" fillId="0" borderId="8" xfId="0" applyFont="1" applyBorder="1" applyAlignment="1">
      <alignment/>
    </xf>
    <xf numFmtId="188" fontId="45" fillId="0" borderId="2" xfId="0" applyNumberFormat="1" applyFont="1" applyBorder="1" applyAlignment="1">
      <alignment/>
    </xf>
    <xf numFmtId="188" fontId="45" fillId="0" borderId="8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5" fillId="0" borderId="4" xfId="0" applyFont="1" applyBorder="1" applyAlignment="1">
      <alignment/>
    </xf>
    <xf numFmtId="0" fontId="45" fillId="0" borderId="6" xfId="0" applyFont="1" applyBorder="1" applyAlignment="1">
      <alignment/>
    </xf>
    <xf numFmtId="0" fontId="45" fillId="0" borderId="5" xfId="0" applyFont="1" applyBorder="1" applyAlignment="1">
      <alignment/>
    </xf>
    <xf numFmtId="0" fontId="40" fillId="0" borderId="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" xfId="0" applyFont="1" applyBorder="1" applyAlignment="1" quotePrefix="1">
      <alignment horizontal="left"/>
    </xf>
    <xf numFmtId="0" fontId="40" fillId="0" borderId="7" xfId="0" applyFont="1" applyBorder="1" applyAlignment="1">
      <alignment/>
    </xf>
    <xf numFmtId="0" fontId="40" fillId="0" borderId="8" xfId="0" applyFont="1" applyBorder="1" applyAlignment="1">
      <alignment/>
    </xf>
    <xf numFmtId="188" fontId="40" fillId="0" borderId="2" xfId="0" applyNumberFormat="1" applyFont="1" applyBorder="1" applyAlignment="1">
      <alignment/>
    </xf>
    <xf numFmtId="188" fontId="40" fillId="0" borderId="8" xfId="0" applyNumberFormat="1" applyFont="1" applyBorder="1" applyAlignment="1">
      <alignment/>
    </xf>
    <xf numFmtId="0" fontId="40" fillId="0" borderId="4" xfId="0" applyFont="1" applyBorder="1" applyAlignment="1">
      <alignment/>
    </xf>
    <xf numFmtId="0" fontId="40" fillId="0" borderId="6" xfId="0" applyFont="1" applyBorder="1" applyAlignment="1">
      <alignment/>
    </xf>
    <xf numFmtId="0" fontId="40" fillId="0" borderId="5" xfId="0" applyFont="1" applyBorder="1" applyAlignment="1">
      <alignment/>
    </xf>
    <xf numFmtId="192" fontId="40" fillId="0" borderId="9" xfId="0" applyNumberFormat="1" applyFont="1" applyBorder="1" applyAlignment="1">
      <alignment/>
    </xf>
    <xf numFmtId="192" fontId="40" fillId="0" borderId="0" xfId="0" applyNumberFormat="1" applyFont="1" applyBorder="1" applyAlignment="1">
      <alignment/>
    </xf>
    <xf numFmtId="189" fontId="40" fillId="0" borderId="0" xfId="0" applyNumberFormat="1" applyFont="1" applyAlignment="1">
      <alignment/>
    </xf>
    <xf numFmtId="0" fontId="40" fillId="0" borderId="11" xfId="0" applyFont="1" applyBorder="1" applyAlignment="1">
      <alignment/>
    </xf>
    <xf numFmtId="189" fontId="40" fillId="0" borderId="11" xfId="0" applyNumberFormat="1" applyFont="1" applyBorder="1" applyAlignment="1">
      <alignment/>
    </xf>
    <xf numFmtId="189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 quotePrefix="1">
      <alignment horizontal="left"/>
    </xf>
    <xf numFmtId="188" fontId="40" fillId="0" borderId="16" xfId="0" applyNumberFormat="1" applyFont="1" applyBorder="1" applyAlignment="1">
      <alignment/>
    </xf>
    <xf numFmtId="189" fontId="40" fillId="0" borderId="15" xfId="0" applyNumberFormat="1" applyFont="1" applyBorder="1" applyAlignment="1">
      <alignment/>
    </xf>
    <xf numFmtId="189" fontId="40" fillId="0" borderId="16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1" fontId="40" fillId="0" borderId="0" xfId="0" applyNumberFormat="1" applyFont="1" applyAlignment="1">
      <alignment horizontal="right"/>
    </xf>
    <xf numFmtId="0" fontId="40" fillId="0" borderId="3" xfId="0" applyFont="1" applyBorder="1" applyAlignment="1">
      <alignment horizontal="left"/>
    </xf>
    <xf numFmtId="0" fontId="40" fillId="0" borderId="3" xfId="0" applyFont="1" applyBorder="1" applyAlignment="1">
      <alignment/>
    </xf>
    <xf numFmtId="0" fontId="40" fillId="0" borderId="1" xfId="0" applyFont="1" applyBorder="1" applyAlignment="1">
      <alignment horizontal="right"/>
    </xf>
    <xf numFmtId="1" fontId="40" fillId="0" borderId="17" xfId="0" applyNumberFormat="1" applyFont="1" applyBorder="1" applyAlignment="1">
      <alignment horizontal="right"/>
    </xf>
    <xf numFmtId="189" fontId="40" fillId="0" borderId="1" xfId="0" applyNumberFormat="1" applyFont="1" applyBorder="1" applyAlignment="1">
      <alignment horizontal="right"/>
    </xf>
    <xf numFmtId="189" fontId="40" fillId="0" borderId="17" xfId="0" applyNumberFormat="1" applyFont="1" applyBorder="1" applyAlignment="1">
      <alignment horizontal="right"/>
    </xf>
    <xf numFmtId="0" fontId="42" fillId="0" borderId="3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8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89" fontId="40" fillId="0" borderId="0" xfId="0" applyNumberFormat="1" applyFont="1" applyAlignment="1" applyProtection="1">
      <alignment horizontal="centerContinuous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4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88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189" fontId="40" fillId="0" borderId="0" xfId="0" applyNumberFormat="1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6" fillId="2" borderId="14" xfId="0" applyFont="1" applyFill="1" applyBorder="1" applyAlignment="1" applyProtection="1">
      <alignment/>
      <protection/>
    </xf>
    <xf numFmtId="0" fontId="40" fillId="2" borderId="12" xfId="0" applyFont="1" applyFill="1" applyBorder="1" applyAlignment="1" applyProtection="1">
      <alignment horizontal="centerContinuous"/>
      <protection/>
    </xf>
    <xf numFmtId="0" fontId="44" fillId="2" borderId="14" xfId="0" applyFont="1" applyFill="1" applyBorder="1" applyAlignment="1" applyProtection="1">
      <alignment/>
      <protection/>
    </xf>
    <xf numFmtId="0" fontId="40" fillId="2" borderId="11" xfId="0" applyFont="1" applyFill="1" applyBorder="1" applyAlignment="1" applyProtection="1">
      <alignment horizontal="centerContinuous"/>
      <protection/>
    </xf>
    <xf numFmtId="0" fontId="46" fillId="2" borderId="13" xfId="0" applyFont="1" applyFill="1" applyBorder="1" applyAlignment="1" applyProtection="1">
      <alignment horizontal="left"/>
      <protection/>
    </xf>
    <xf numFmtId="188" fontId="40" fillId="2" borderId="11" xfId="0" applyNumberFormat="1" applyFont="1" applyFill="1" applyBorder="1" applyAlignment="1" applyProtection="1">
      <alignment horizontal="right"/>
      <protection/>
    </xf>
    <xf numFmtId="0" fontId="40" fillId="0" borderId="13" xfId="0" applyFont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188" fontId="40" fillId="0" borderId="13" xfId="0" applyNumberFormat="1" applyFont="1" applyBorder="1" applyAlignment="1" applyProtection="1">
      <alignment/>
      <protection/>
    </xf>
    <xf numFmtId="188" fontId="40" fillId="0" borderId="11" xfId="0" applyNumberFormat="1" applyFont="1" applyBorder="1" applyAlignment="1" applyProtection="1">
      <alignment horizontal="right"/>
      <protection/>
    </xf>
    <xf numFmtId="188" fontId="40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/>
      <protection/>
    </xf>
    <xf numFmtId="189" fontId="40" fillId="0" borderId="0" xfId="0" applyNumberFormat="1" applyFont="1" applyBorder="1" applyAlignment="1" applyProtection="1">
      <alignment/>
      <protection/>
    </xf>
    <xf numFmtId="192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88" fontId="44" fillId="0" borderId="0" xfId="0" applyNumberFormat="1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89" fontId="40" fillId="0" borderId="0" xfId="0" applyNumberFormat="1" applyFont="1" applyBorder="1" applyAlignment="1" applyProtection="1">
      <alignment/>
      <protection/>
    </xf>
    <xf numFmtId="188" fontId="45" fillId="0" borderId="0" xfId="0" applyNumberFormat="1" applyFont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 horizontal="right"/>
      <protection/>
    </xf>
    <xf numFmtId="188" fontId="45" fillId="0" borderId="0" xfId="0" applyNumberFormat="1" applyFont="1" applyBorder="1" applyAlignment="1" applyProtection="1">
      <alignment horizontal="right"/>
      <protection/>
    </xf>
    <xf numFmtId="0" fontId="46" fillId="0" borderId="18" xfId="0" applyFont="1" applyBorder="1" applyAlignment="1" applyProtection="1">
      <alignment/>
      <protection/>
    </xf>
    <xf numFmtId="0" fontId="46" fillId="0" borderId="19" xfId="0" applyFont="1" applyBorder="1" applyAlignment="1" applyProtection="1">
      <alignment horizontal="center"/>
      <protection/>
    </xf>
    <xf numFmtId="0" fontId="46" fillId="0" borderId="9" xfId="0" applyFont="1" applyBorder="1" applyAlignment="1" applyProtection="1">
      <alignment horizontal="centerContinuous"/>
      <protection/>
    </xf>
    <xf numFmtId="0" fontId="40" fillId="0" borderId="0" xfId="0" applyFont="1" applyBorder="1" applyAlignment="1" applyProtection="1">
      <alignment horizontal="centerContinuous"/>
      <protection/>
    </xf>
    <xf numFmtId="0" fontId="46" fillId="0" borderId="20" xfId="0" applyFont="1" applyBorder="1" applyAlignment="1" applyProtection="1">
      <alignment horizontal="centerContinuous"/>
      <protection/>
    </xf>
    <xf numFmtId="0" fontId="53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188" fontId="50" fillId="0" borderId="0" xfId="0" applyNumberFormat="1" applyFont="1" applyAlignment="1" applyProtection="1">
      <alignment horizontal="right"/>
      <protection/>
    </xf>
    <xf numFmtId="0" fontId="54" fillId="0" borderId="0" xfId="0" applyFont="1" applyAlignment="1" applyProtection="1" quotePrefix="1">
      <alignment horizontal="center"/>
      <protection/>
    </xf>
    <xf numFmtId="0" fontId="55" fillId="0" borderId="0" xfId="0" applyFont="1" applyAlignment="1" applyProtection="1" quotePrefix="1">
      <alignment horizontal="right"/>
      <protection/>
    </xf>
    <xf numFmtId="188" fontId="54" fillId="0" borderId="0" xfId="0" applyNumberFormat="1" applyFont="1" applyAlignment="1" applyProtection="1" quotePrefix="1">
      <alignment horizontal="center"/>
      <protection/>
    </xf>
    <xf numFmtId="189" fontId="46" fillId="0" borderId="0" xfId="0" applyNumberFormat="1" applyFont="1" applyAlignment="1" applyProtection="1">
      <alignment horizontal="center"/>
      <protection/>
    </xf>
    <xf numFmtId="0" fontId="45" fillId="0" borderId="0" xfId="0" applyFont="1" applyBorder="1" applyAlignment="1">
      <alignment/>
    </xf>
    <xf numFmtId="188" fontId="46" fillId="0" borderId="0" xfId="0" applyNumberFormat="1" applyFont="1" applyAlignment="1" applyProtection="1">
      <alignment/>
      <protection/>
    </xf>
    <xf numFmtId="189" fontId="57" fillId="0" borderId="0" xfId="0" applyNumberFormat="1" applyFont="1" applyAlignment="1" applyProtection="1">
      <alignment/>
      <protection/>
    </xf>
    <xf numFmtId="188" fontId="55" fillId="0" borderId="0" xfId="0" applyNumberFormat="1" applyFont="1" applyAlignment="1" applyProtection="1">
      <alignment/>
      <protection/>
    </xf>
    <xf numFmtId="188" fontId="56" fillId="0" borderId="0" xfId="0" applyNumberFormat="1" applyFont="1" applyAlignment="1" applyProtection="1">
      <alignment/>
      <protection/>
    </xf>
    <xf numFmtId="188" fontId="56" fillId="0" borderId="0" xfId="0" applyNumberFormat="1" applyFont="1" applyAlignment="1" applyProtection="1">
      <alignment horizontal="right"/>
      <protection/>
    </xf>
    <xf numFmtId="4" fontId="56" fillId="0" borderId="0" xfId="0" applyNumberFormat="1" applyFont="1" applyAlignment="1" applyProtection="1">
      <alignment/>
      <protection/>
    </xf>
    <xf numFmtId="188" fontId="50" fillId="0" borderId="0" xfId="0" applyNumberFormat="1" applyFont="1" applyAlignment="1" applyProtection="1">
      <alignment/>
      <protection/>
    </xf>
    <xf numFmtId="2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45" fillId="3" borderId="0" xfId="0" applyFont="1" applyFill="1" applyAlignment="1">
      <alignment/>
    </xf>
    <xf numFmtId="188" fontId="44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189" fontId="46" fillId="0" borderId="0" xfId="0" applyNumberFormat="1" applyFont="1" applyAlignment="1" applyProtection="1">
      <alignment/>
      <protection/>
    </xf>
    <xf numFmtId="188" fontId="46" fillId="0" borderId="0" xfId="0" applyNumberFormat="1" applyFont="1" applyBorder="1" applyAlignment="1" applyProtection="1">
      <alignment/>
      <protection/>
    </xf>
    <xf numFmtId="0" fontId="45" fillId="0" borderId="21" xfId="0" applyFont="1" applyBorder="1" applyAlignment="1" applyProtection="1">
      <alignment/>
      <protection/>
    </xf>
    <xf numFmtId="0" fontId="45" fillId="0" borderId="22" xfId="0" applyFont="1" applyBorder="1" applyAlignment="1">
      <alignment/>
    </xf>
    <xf numFmtId="0" fontId="46" fillId="0" borderId="0" xfId="0" applyFont="1" applyAlignment="1" applyProtection="1">
      <alignment horizontal="justify"/>
      <protection/>
    </xf>
    <xf numFmtId="3" fontId="46" fillId="0" borderId="0" xfId="0" applyNumberFormat="1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61" fillId="0" borderId="22" xfId="0" applyFont="1" applyBorder="1" applyAlignment="1" applyProtection="1">
      <alignment horizontal="left"/>
      <protection locked="0"/>
    </xf>
    <xf numFmtId="2" fontId="44" fillId="0" borderId="22" xfId="0" applyNumberFormat="1" applyFont="1" applyBorder="1" applyAlignment="1" applyProtection="1">
      <alignment horizontal="center"/>
      <protection locked="0"/>
    </xf>
    <xf numFmtId="0" fontId="53" fillId="0" borderId="23" xfId="0" applyFont="1" applyBorder="1" applyAlignment="1">
      <alignment/>
    </xf>
    <xf numFmtId="0" fontId="46" fillId="0" borderId="0" xfId="0" applyFont="1" applyAlignment="1" applyProtection="1" quotePrefix="1">
      <alignment horizontal="left"/>
      <protection/>
    </xf>
    <xf numFmtId="188" fontId="58" fillId="0" borderId="0" xfId="0" applyNumberFormat="1" applyFont="1" applyBorder="1" applyAlignment="1" applyProtection="1">
      <alignment/>
      <protection/>
    </xf>
    <xf numFmtId="2" fontId="45" fillId="0" borderId="0" xfId="0" applyNumberFormat="1" applyFont="1" applyAlignment="1" applyProtection="1">
      <alignment/>
      <protection/>
    </xf>
    <xf numFmtId="0" fontId="44" fillId="0" borderId="9" xfId="0" applyFont="1" applyBorder="1" applyAlignment="1" applyProtection="1">
      <alignment/>
      <protection/>
    </xf>
    <xf numFmtId="0" fontId="46" fillId="0" borderId="9" xfId="0" applyFont="1" applyBorder="1" applyAlignment="1" applyProtection="1">
      <alignment horizontal="left"/>
      <protection/>
    </xf>
    <xf numFmtId="0" fontId="46" fillId="0" borderId="20" xfId="0" applyFont="1" applyBorder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46" fillId="0" borderId="20" xfId="0" applyFont="1" applyBorder="1" applyAlignment="1" applyProtection="1">
      <alignment horizontal="left"/>
      <protection/>
    </xf>
    <xf numFmtId="0" fontId="40" fillId="0" borderId="24" xfId="0" applyFont="1" applyBorder="1" applyAlignment="1" applyProtection="1">
      <alignment/>
      <protection/>
    </xf>
    <xf numFmtId="188" fontId="62" fillId="0" borderId="0" xfId="0" applyNumberFormat="1" applyFont="1" applyAlignment="1" applyProtection="1">
      <alignment/>
      <protection/>
    </xf>
    <xf numFmtId="2" fontId="58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55" fillId="2" borderId="1" xfId="0" applyFont="1" applyFill="1" applyBorder="1" applyAlignment="1" applyProtection="1">
      <alignment/>
      <protection locked="0"/>
    </xf>
    <xf numFmtId="1" fontId="55" fillId="0" borderId="0" xfId="0" applyNumberFormat="1" applyFont="1" applyBorder="1" applyAlignment="1" applyProtection="1">
      <alignment/>
      <protection/>
    </xf>
    <xf numFmtId="188" fontId="64" fillId="0" borderId="0" xfId="0" applyNumberFormat="1" applyFont="1" applyFill="1" applyBorder="1" applyAlignment="1" applyProtection="1">
      <alignment/>
      <protection/>
    </xf>
    <xf numFmtId="189" fontId="45" fillId="0" borderId="0" xfId="0" applyNumberFormat="1" applyFont="1" applyAlignment="1" applyProtection="1">
      <alignment horizontal="right"/>
      <protection/>
    </xf>
    <xf numFmtId="189" fontId="46" fillId="0" borderId="0" xfId="0" applyNumberFormat="1" applyFont="1" applyAlignment="1" applyProtection="1">
      <alignment horizontal="right"/>
      <protection/>
    </xf>
    <xf numFmtId="188" fontId="12" fillId="0" borderId="0" xfId="0" applyNumberFormat="1" applyFont="1" applyAlignment="1" applyProtection="1">
      <alignment/>
      <protection/>
    </xf>
    <xf numFmtId="0" fontId="50" fillId="0" borderId="0" xfId="0" applyFont="1" applyAlignment="1" applyProtection="1" quotePrefix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188" fontId="48" fillId="0" borderId="0" xfId="0" applyNumberFormat="1" applyFont="1" applyAlignment="1" applyProtection="1">
      <alignment horizontal="right"/>
      <protection/>
    </xf>
    <xf numFmtId="188" fontId="48" fillId="0" borderId="0" xfId="0" applyNumberFormat="1" applyFont="1" applyAlignment="1" applyProtection="1" quotePrefix="1">
      <alignment horizontal="right"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Alignment="1" applyProtection="1" quotePrefix="1">
      <alignment horizontal="right"/>
      <protection/>
    </xf>
    <xf numFmtId="0" fontId="55" fillId="0" borderId="0" xfId="0" applyFont="1" applyAlignment="1" applyProtection="1">
      <alignment horizontal="right"/>
      <protection/>
    </xf>
    <xf numFmtId="189" fontId="50" fillId="0" borderId="0" xfId="0" applyNumberFormat="1" applyFont="1" applyAlignment="1" applyProtection="1">
      <alignment horizontal="center"/>
      <protection/>
    </xf>
    <xf numFmtId="0" fontId="46" fillId="0" borderId="0" xfId="0" applyFont="1" applyAlignment="1">
      <alignment/>
    </xf>
    <xf numFmtId="188" fontId="46" fillId="0" borderId="0" xfId="0" applyNumberFormat="1" applyFont="1" applyAlignment="1" applyProtection="1">
      <alignment horizontal="right"/>
      <protection/>
    </xf>
    <xf numFmtId="188" fontId="66" fillId="0" borderId="0" xfId="0" applyNumberFormat="1" applyFont="1" applyAlignment="1" applyProtection="1">
      <alignment/>
      <protection/>
    </xf>
    <xf numFmtId="188" fontId="66" fillId="0" borderId="0" xfId="0" applyNumberFormat="1" applyFont="1" applyAlignment="1" applyProtection="1">
      <alignment horizontal="right"/>
      <protection/>
    </xf>
    <xf numFmtId="2" fontId="62" fillId="0" borderId="0" xfId="0" applyNumberFormat="1" applyFont="1" applyAlignment="1" applyProtection="1">
      <alignment/>
      <protection/>
    </xf>
    <xf numFmtId="188" fontId="45" fillId="0" borderId="0" xfId="0" applyNumberFormat="1" applyFont="1" applyFill="1" applyAlignment="1" applyProtection="1">
      <alignment horizontal="left"/>
      <protection/>
    </xf>
    <xf numFmtId="188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88" fontId="45" fillId="0" borderId="0" xfId="0" applyNumberFormat="1" applyFont="1" applyBorder="1" applyAlignment="1" applyProtection="1">
      <alignment/>
      <protection/>
    </xf>
    <xf numFmtId="189" fontId="45" fillId="0" borderId="0" xfId="0" applyNumberFormat="1" applyFont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192" fontId="66" fillId="0" borderId="0" xfId="0" applyNumberFormat="1" applyFont="1" applyAlignment="1" applyProtection="1">
      <alignment horizontal="right"/>
      <protection/>
    </xf>
    <xf numFmtId="0" fontId="45" fillId="0" borderId="0" xfId="0" applyFont="1" applyBorder="1" applyAlignment="1" applyProtection="1" quotePrefix="1">
      <alignment horizontal="left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8" xfId="0" applyFont="1" applyBorder="1" applyAlignment="1" applyProtection="1">
      <alignment horizontal="center"/>
      <protection/>
    </xf>
    <xf numFmtId="0" fontId="46" fillId="0" borderId="25" xfId="0" applyFont="1" applyBorder="1" applyAlignment="1" applyProtection="1">
      <alignment horizontal="center"/>
      <protection/>
    </xf>
    <xf numFmtId="0" fontId="46" fillId="0" borderId="25" xfId="0" applyFont="1" applyBorder="1" applyAlignment="1" applyProtection="1">
      <alignment horizontal="right"/>
      <protection/>
    </xf>
    <xf numFmtId="0" fontId="46" fillId="0" borderId="21" xfId="0" applyFont="1" applyBorder="1" applyAlignment="1" applyProtection="1">
      <alignment horizontal="center"/>
      <protection/>
    </xf>
    <xf numFmtId="0" fontId="44" fillId="3" borderId="22" xfId="0" applyFont="1" applyFill="1" applyBorder="1" applyAlignment="1" applyProtection="1">
      <alignment horizontal="right"/>
      <protection/>
    </xf>
    <xf numFmtId="0" fontId="44" fillId="3" borderId="12" xfId="0" applyFont="1" applyFill="1" applyBorder="1" applyAlignment="1" applyProtection="1">
      <alignment horizontal="left"/>
      <protection/>
    </xf>
    <xf numFmtId="2" fontId="46" fillId="0" borderId="0" xfId="0" applyNumberFormat="1" applyFont="1" applyAlignment="1" applyProtection="1">
      <alignment/>
      <protection/>
    </xf>
    <xf numFmtId="189" fontId="46" fillId="0" borderId="0" xfId="0" applyNumberFormat="1" applyFont="1" applyFill="1" applyAlignment="1" applyProtection="1">
      <alignment horizontal="right"/>
      <protection/>
    </xf>
    <xf numFmtId="189" fontId="44" fillId="0" borderId="0" xfId="0" applyNumberFormat="1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/>
      <protection/>
    </xf>
    <xf numFmtId="189" fontId="44" fillId="0" borderId="0" xfId="0" applyNumberFormat="1" applyFont="1" applyBorder="1" applyAlignment="1" applyProtection="1">
      <alignment horizontal="center"/>
      <protection/>
    </xf>
    <xf numFmtId="189" fontId="46" fillId="0" borderId="0" xfId="0" applyNumberFormat="1" applyFont="1" applyBorder="1" applyAlignment="1" applyProtection="1">
      <alignment horizontal="right"/>
      <protection/>
    </xf>
    <xf numFmtId="189" fontId="46" fillId="0" borderId="0" xfId="0" applyNumberFormat="1" applyFont="1" applyBorder="1" applyAlignment="1" applyProtection="1">
      <alignment horizontal="center"/>
      <protection/>
    </xf>
    <xf numFmtId="0" fontId="46" fillId="0" borderId="22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89" fontId="46" fillId="0" borderId="0" xfId="0" applyNumberFormat="1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189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89" fontId="45" fillId="0" borderId="0" xfId="0" applyNumberFormat="1" applyFont="1" applyFill="1" applyAlignment="1" applyProtection="1">
      <alignment horizontal="right"/>
      <protection/>
    </xf>
    <xf numFmtId="0" fontId="46" fillId="0" borderId="0" xfId="0" applyFont="1" applyAlignment="1" applyProtection="1">
      <alignment horizontal="centerContinuous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89" fontId="45" fillId="0" borderId="0" xfId="0" applyNumberFormat="1" applyFont="1" applyFill="1" applyAlignment="1" applyProtection="1">
      <alignment horizontal="centerContinuous"/>
      <protection/>
    </xf>
    <xf numFmtId="188" fontId="46" fillId="0" borderId="24" xfId="0" applyNumberFormat="1" applyFont="1" applyBorder="1" applyAlignment="1" applyProtection="1">
      <alignment/>
      <protection/>
    </xf>
    <xf numFmtId="189" fontId="46" fillId="0" borderId="0" xfId="0" applyNumberFormat="1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 quotePrefix="1">
      <alignment horizontal="left"/>
      <protection/>
    </xf>
    <xf numFmtId="0" fontId="46" fillId="0" borderId="26" xfId="0" applyFont="1" applyBorder="1" applyAlignment="1" applyProtection="1">
      <alignment/>
      <protection/>
    </xf>
    <xf numFmtId="0" fontId="46" fillId="0" borderId="2" xfId="0" applyFont="1" applyBorder="1" applyAlignment="1" applyProtection="1">
      <alignment horizontal="centerContinuous"/>
      <protection/>
    </xf>
    <xf numFmtId="0" fontId="46" fillId="0" borderId="7" xfId="0" applyFont="1" applyBorder="1" applyAlignment="1" applyProtection="1">
      <alignment horizontal="centerContinuous"/>
      <protection/>
    </xf>
    <xf numFmtId="0" fontId="44" fillId="0" borderId="8" xfId="0" applyFont="1" applyBorder="1" applyAlignment="1" applyProtection="1">
      <alignment horizontal="centerContinuous"/>
      <protection/>
    </xf>
    <xf numFmtId="1" fontId="46" fillId="0" borderId="2" xfId="0" applyNumberFormat="1" applyFont="1" applyBorder="1" applyAlignment="1" applyProtection="1">
      <alignment/>
      <protection/>
    </xf>
    <xf numFmtId="0" fontId="46" fillId="0" borderId="8" xfId="0" applyFont="1" applyBorder="1" applyAlignment="1" applyProtection="1">
      <alignment/>
      <protection/>
    </xf>
    <xf numFmtId="188" fontId="44" fillId="0" borderId="0" xfId="0" applyNumberFormat="1" applyFont="1" applyFill="1" applyBorder="1" applyAlignment="1" applyProtection="1">
      <alignment horizontal="left"/>
      <protection/>
    </xf>
    <xf numFmtId="188" fontId="46" fillId="0" borderId="27" xfId="0" applyNumberFormat="1" applyFont="1" applyBorder="1" applyAlignment="1" applyProtection="1">
      <alignment horizontal="left"/>
      <protection/>
    </xf>
    <xf numFmtId="0" fontId="46" fillId="0" borderId="2" xfId="0" applyFont="1" applyBorder="1" applyAlignment="1" applyProtection="1">
      <alignment horizontal="left"/>
      <protection/>
    </xf>
    <xf numFmtId="0" fontId="44" fillId="0" borderId="2" xfId="0" applyFont="1" applyBorder="1" applyAlignment="1" applyProtection="1">
      <alignment horizontal="left"/>
      <protection/>
    </xf>
    <xf numFmtId="0" fontId="45" fillId="0" borderId="8" xfId="0" applyFont="1" applyBorder="1" applyAlignment="1" applyProtection="1">
      <alignment/>
      <protection/>
    </xf>
    <xf numFmtId="0" fontId="46" fillId="0" borderId="28" xfId="0" applyFont="1" applyBorder="1" applyAlignment="1" applyProtection="1">
      <alignment/>
      <protection/>
    </xf>
    <xf numFmtId="0" fontId="46" fillId="0" borderId="4" xfId="0" applyFont="1" applyBorder="1" applyAlignment="1" applyProtection="1">
      <alignment horizontal="center"/>
      <protection/>
    </xf>
    <xf numFmtId="0" fontId="46" fillId="0" borderId="4" xfId="0" applyFont="1" applyBorder="1" applyAlignment="1" applyProtection="1">
      <alignment/>
      <protection/>
    </xf>
    <xf numFmtId="0" fontId="46" fillId="0" borderId="6" xfId="0" applyFont="1" applyBorder="1" applyAlignment="1" applyProtection="1">
      <alignment/>
      <protection/>
    </xf>
    <xf numFmtId="0" fontId="46" fillId="0" borderId="2" xfId="0" applyFont="1" applyBorder="1" applyAlignment="1" applyProtection="1">
      <alignment horizontal="center"/>
      <protection/>
    </xf>
    <xf numFmtId="1" fontId="46" fillId="0" borderId="7" xfId="0" applyNumberFormat="1" applyFont="1" applyBorder="1" applyAlignment="1" applyProtection="1">
      <alignment/>
      <protection/>
    </xf>
    <xf numFmtId="0" fontId="46" fillId="0" borderId="7" xfId="0" applyFont="1" applyBorder="1" applyAlignment="1" applyProtection="1">
      <alignment horizontal="center"/>
      <protection/>
    </xf>
    <xf numFmtId="1" fontId="46" fillId="0" borderId="7" xfId="0" applyNumberFormat="1" applyFont="1" applyBorder="1" applyAlignment="1" applyProtection="1">
      <alignment horizontal="center"/>
      <protection/>
    </xf>
    <xf numFmtId="0" fontId="46" fillId="0" borderId="7" xfId="0" applyFont="1" applyBorder="1" applyAlignment="1" applyProtection="1">
      <alignment/>
      <protection/>
    </xf>
    <xf numFmtId="1" fontId="46" fillId="0" borderId="7" xfId="0" applyNumberFormat="1" applyFont="1" applyBorder="1" applyAlignment="1" applyProtection="1">
      <alignment horizontal="right"/>
      <protection/>
    </xf>
    <xf numFmtId="1" fontId="46" fillId="0" borderId="2" xfId="0" applyNumberFormat="1" applyFont="1" applyBorder="1" applyAlignment="1" applyProtection="1">
      <alignment/>
      <protection/>
    </xf>
    <xf numFmtId="188" fontId="40" fillId="0" borderId="3" xfId="0" applyNumberFormat="1" applyFont="1" applyFill="1" applyBorder="1" applyAlignment="1" applyProtection="1" quotePrefix="1">
      <alignment horizontal="center"/>
      <protection/>
    </xf>
    <xf numFmtId="0" fontId="46" fillId="0" borderId="1" xfId="0" applyFont="1" applyBorder="1" applyAlignment="1" applyProtection="1">
      <alignment horizontal="center"/>
      <protection/>
    </xf>
    <xf numFmtId="1" fontId="46" fillId="0" borderId="1" xfId="0" applyNumberFormat="1" applyFont="1" applyBorder="1" applyAlignment="1" applyProtection="1">
      <alignment horizontal="center"/>
      <protection/>
    </xf>
    <xf numFmtId="0" fontId="46" fillId="0" borderId="1" xfId="0" applyFont="1" applyBorder="1" applyAlignment="1" applyProtection="1">
      <alignment/>
      <protection/>
    </xf>
    <xf numFmtId="1" fontId="46" fillId="0" borderId="1" xfId="0" applyNumberFormat="1" applyFont="1" applyBorder="1" applyAlignment="1" applyProtection="1">
      <alignment/>
      <protection/>
    </xf>
    <xf numFmtId="0" fontId="46" fillId="0" borderId="17" xfId="0" applyFont="1" applyBorder="1" applyAlignment="1" applyProtection="1">
      <alignment/>
      <protection/>
    </xf>
    <xf numFmtId="1" fontId="45" fillId="0" borderId="3" xfId="0" applyNumberFormat="1" applyFont="1" applyBorder="1" applyAlignment="1" applyProtection="1">
      <alignment/>
      <protection/>
    </xf>
    <xf numFmtId="1" fontId="45" fillId="0" borderId="17" xfId="0" applyNumberFormat="1" applyFont="1" applyBorder="1" applyAlignment="1" applyProtection="1">
      <alignment/>
      <protection/>
    </xf>
    <xf numFmtId="0" fontId="45" fillId="0" borderId="17" xfId="0" applyFont="1" applyBorder="1" applyAlignment="1" applyProtection="1">
      <alignment/>
      <protection/>
    </xf>
    <xf numFmtId="16" fontId="46" fillId="0" borderId="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3" xfId="0" applyFont="1" applyBorder="1" applyAlignment="1" applyProtection="1">
      <alignment horizontal="center"/>
      <protection/>
    </xf>
    <xf numFmtId="0" fontId="45" fillId="0" borderId="3" xfId="0" applyFont="1" applyBorder="1" applyAlignment="1" applyProtection="1">
      <alignment/>
      <protection/>
    </xf>
    <xf numFmtId="0" fontId="46" fillId="0" borderId="5" xfId="0" applyFont="1" applyBorder="1" applyAlignment="1" applyProtection="1">
      <alignment horizontal="center"/>
      <protection/>
    </xf>
    <xf numFmtId="1" fontId="46" fillId="0" borderId="5" xfId="0" applyNumberFormat="1" applyFont="1" applyBorder="1" applyAlignment="1" applyProtection="1">
      <alignment horizontal="center"/>
      <protection/>
    </xf>
    <xf numFmtId="0" fontId="46" fillId="0" borderId="5" xfId="0" applyFont="1" applyBorder="1" applyAlignment="1" applyProtection="1">
      <alignment/>
      <protection/>
    </xf>
    <xf numFmtId="1" fontId="46" fillId="0" borderId="5" xfId="0" applyNumberFormat="1" applyFont="1" applyBorder="1" applyAlignment="1" applyProtection="1">
      <alignment/>
      <protection/>
    </xf>
    <xf numFmtId="0" fontId="46" fillId="0" borderId="5" xfId="0" applyFont="1" applyBorder="1" applyAlignment="1" applyProtection="1">
      <alignment horizontal="right"/>
      <protection/>
    </xf>
    <xf numFmtId="1" fontId="45" fillId="0" borderId="4" xfId="0" applyNumberFormat="1" applyFont="1" applyBorder="1" applyAlignment="1" applyProtection="1">
      <alignment/>
      <protection/>
    </xf>
    <xf numFmtId="0" fontId="45" fillId="0" borderId="6" xfId="0" applyFont="1" applyBorder="1" applyAlignment="1" applyProtection="1">
      <alignment/>
      <protection/>
    </xf>
    <xf numFmtId="0" fontId="45" fillId="0" borderId="4" xfId="0" applyFont="1" applyBorder="1" applyAlignment="1" applyProtection="1">
      <alignment/>
      <protection/>
    </xf>
    <xf numFmtId="1" fontId="46" fillId="0" borderId="0" xfId="0" applyNumberFormat="1" applyFont="1" applyBorder="1" applyAlignment="1" applyProtection="1">
      <alignment horizontal="center"/>
      <protection/>
    </xf>
    <xf numFmtId="199" fontId="48" fillId="0" borderId="0" xfId="0" applyNumberFormat="1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88" fontId="45" fillId="0" borderId="0" xfId="0" applyNumberFormat="1" applyFont="1" applyAlignment="1" applyProtection="1">
      <alignment/>
      <protection/>
    </xf>
    <xf numFmtId="188" fontId="71" fillId="0" borderId="0" xfId="0" applyNumberFormat="1" applyFont="1" applyAlignment="1" applyProtection="1">
      <alignment/>
      <protection/>
    </xf>
    <xf numFmtId="188" fontId="48" fillId="0" borderId="0" xfId="0" applyNumberFormat="1" applyFont="1" applyAlignment="1" applyProtection="1">
      <alignment/>
      <protection/>
    </xf>
    <xf numFmtId="1" fontId="45" fillId="0" borderId="0" xfId="0" applyNumberFormat="1" applyFont="1" applyAlignment="1" applyProtection="1">
      <alignment/>
      <protection/>
    </xf>
    <xf numFmtId="188" fontId="45" fillId="0" borderId="0" xfId="0" applyNumberFormat="1" applyFont="1" applyAlignment="1" applyProtection="1" quotePrefix="1">
      <alignment horizontal="left" wrapText="1"/>
      <protection/>
    </xf>
    <xf numFmtId="4" fontId="48" fillId="0" borderId="0" xfId="0" applyNumberFormat="1" applyFont="1" applyAlignment="1" applyProtection="1">
      <alignment/>
      <protection/>
    </xf>
    <xf numFmtId="0" fontId="73" fillId="0" borderId="0" xfId="0" applyFont="1" applyAlignment="1" applyProtection="1">
      <alignment horizontal="right"/>
      <protection/>
    </xf>
    <xf numFmtId="0" fontId="74" fillId="0" borderId="0" xfId="0" applyFont="1" applyAlignment="1" applyProtection="1" quotePrefix="1">
      <alignment horizontal="left"/>
      <protection/>
    </xf>
    <xf numFmtId="0" fontId="73" fillId="0" borderId="0" xfId="0" applyFont="1" applyAlignment="1" applyProtection="1" quotePrefix="1">
      <alignment horizontal="right"/>
      <protection/>
    </xf>
    <xf numFmtId="189" fontId="48" fillId="0" borderId="0" xfId="0" applyNumberFormat="1" applyFont="1" applyAlignment="1" applyProtection="1">
      <alignment horizontal="center"/>
      <protection/>
    </xf>
    <xf numFmtId="2" fontId="48" fillId="0" borderId="0" xfId="0" applyNumberFormat="1" applyFont="1" applyAlignment="1" applyProtection="1">
      <alignment/>
      <protection/>
    </xf>
    <xf numFmtId="2" fontId="70" fillId="0" borderId="0" xfId="0" applyNumberFormat="1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/>
      <protection/>
    </xf>
    <xf numFmtId="188" fontId="45" fillId="0" borderId="0" xfId="0" applyNumberFormat="1" applyFont="1" applyFill="1" applyAlignment="1" applyProtection="1">
      <alignment horizontal="right"/>
      <protection/>
    </xf>
    <xf numFmtId="1" fontId="45" fillId="0" borderId="0" xfId="0" applyNumberFormat="1" applyFont="1" applyAlignment="1" applyProtection="1">
      <alignment horizontal="center"/>
      <protection/>
    </xf>
    <xf numFmtId="188" fontId="76" fillId="0" borderId="0" xfId="0" applyNumberFormat="1" applyFont="1" applyAlignment="1" applyProtection="1">
      <alignment/>
      <protection/>
    </xf>
    <xf numFmtId="0" fontId="70" fillId="0" borderId="0" xfId="0" applyFont="1" applyBorder="1" applyAlignment="1" applyProtection="1">
      <alignment horizontal="right"/>
      <protection/>
    </xf>
    <xf numFmtId="1" fontId="70" fillId="0" borderId="22" xfId="0" applyNumberFormat="1" applyFont="1" applyFill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left"/>
      <protection/>
    </xf>
    <xf numFmtId="189" fontId="70" fillId="0" borderId="0" xfId="0" applyNumberFormat="1" applyFont="1" applyBorder="1" applyAlignment="1" applyProtection="1">
      <alignment horizontal="center"/>
      <protection/>
    </xf>
    <xf numFmtId="1" fontId="70" fillId="2" borderId="22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center"/>
      <protection/>
    </xf>
    <xf numFmtId="188" fontId="75" fillId="0" borderId="0" xfId="0" applyNumberFormat="1" applyFont="1" applyBorder="1" applyAlignment="1" applyProtection="1">
      <alignment horizontal="center"/>
      <protection/>
    </xf>
    <xf numFmtId="189" fontId="45" fillId="0" borderId="0" xfId="0" applyNumberFormat="1" applyFont="1" applyFill="1" applyAlignment="1" applyProtection="1">
      <alignment/>
      <protection/>
    </xf>
    <xf numFmtId="0" fontId="45" fillId="0" borderId="0" xfId="0" applyFont="1" applyAlignment="1" applyProtection="1">
      <alignment horizontal="centerContinuous"/>
      <protection/>
    </xf>
    <xf numFmtId="1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1" fontId="70" fillId="0" borderId="0" xfId="0" applyNumberFormat="1" applyFont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horizontal="right"/>
      <protection/>
    </xf>
    <xf numFmtId="188" fontId="45" fillId="0" borderId="0" xfId="0" applyNumberFormat="1" applyFont="1" applyBorder="1" applyAlignment="1" applyProtection="1">
      <alignment horizontal="justify"/>
      <protection/>
    </xf>
    <xf numFmtId="0" fontId="77" fillId="0" borderId="0" xfId="0" applyFont="1" applyBorder="1" applyAlignment="1" applyProtection="1">
      <alignment horizontal="right"/>
      <protection/>
    </xf>
    <xf numFmtId="0" fontId="45" fillId="0" borderId="4" xfId="0" applyFont="1" applyBorder="1" applyAlignment="1" applyProtection="1">
      <alignment horizontal="center"/>
      <protection/>
    </xf>
    <xf numFmtId="0" fontId="70" fillId="0" borderId="24" xfId="0" applyFont="1" applyBorder="1" applyAlignment="1" applyProtection="1">
      <alignment horizontal="right"/>
      <protection/>
    </xf>
    <xf numFmtId="0" fontId="45" fillId="0" borderId="4" xfId="0" applyFont="1" applyBorder="1" applyAlignment="1" applyProtection="1">
      <alignment horizontal="right"/>
      <protection/>
    </xf>
    <xf numFmtId="0" fontId="70" fillId="0" borderId="23" xfId="0" applyFont="1" applyBorder="1" applyAlignment="1" applyProtection="1">
      <alignment horizontal="right"/>
      <protection/>
    </xf>
    <xf numFmtId="188" fontId="46" fillId="0" borderId="0" xfId="0" applyNumberFormat="1" applyFont="1" applyBorder="1" applyAlignment="1" applyProtection="1">
      <alignment horizontal="center"/>
      <protection/>
    </xf>
    <xf numFmtId="16" fontId="55" fillId="0" borderId="0" xfId="0" applyNumberFormat="1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189" fontId="60" fillId="0" borderId="0" xfId="0" applyNumberFormat="1" applyFont="1" applyAlignment="1" applyProtection="1">
      <alignment horizontal="center"/>
      <protection/>
    </xf>
    <xf numFmtId="0" fontId="46" fillId="0" borderId="0" xfId="0" applyFont="1" applyAlignment="1">
      <alignment horizontal="right"/>
    </xf>
    <xf numFmtId="0" fontId="55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1" fontId="56" fillId="0" borderId="0" xfId="0" applyNumberFormat="1" applyFont="1" applyAlignment="1" applyProtection="1">
      <alignment horizontal="center"/>
      <protection/>
    </xf>
    <xf numFmtId="1" fontId="55" fillId="0" borderId="0" xfId="0" applyNumberFormat="1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81" fillId="0" borderId="2" xfId="0" applyFont="1" applyBorder="1" applyAlignment="1" applyProtection="1">
      <alignment horizontal="center"/>
      <protection/>
    </xf>
    <xf numFmtId="0" fontId="81" fillId="0" borderId="7" xfId="0" applyFont="1" applyBorder="1" applyAlignment="1" applyProtection="1">
      <alignment horizontal="center"/>
      <protection/>
    </xf>
    <xf numFmtId="0" fontId="81" fillId="0" borderId="7" xfId="0" applyFont="1" applyBorder="1" applyAlignment="1" applyProtection="1">
      <alignment horizontal="right"/>
      <protection/>
    </xf>
    <xf numFmtId="0" fontId="81" fillId="0" borderId="8" xfId="0" applyFont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0" xfId="0" applyFont="1" applyAlignment="1" applyProtection="1">
      <alignment horizontal="center"/>
      <protection/>
    </xf>
    <xf numFmtId="1" fontId="70" fillId="0" borderId="0" xfId="0" applyNumberFormat="1" applyFont="1" applyAlignment="1" applyProtection="1">
      <alignment horizontal="right"/>
      <protection/>
    </xf>
    <xf numFmtId="0" fontId="56" fillId="0" borderId="0" xfId="0" applyFont="1" applyAlignment="1" applyProtection="1" quotePrefix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/>
    </xf>
    <xf numFmtId="192" fontId="46" fillId="0" borderId="0" xfId="0" applyNumberFormat="1" applyFont="1" applyAlignment="1" applyProtection="1">
      <alignment horizontal="right"/>
      <protection/>
    </xf>
    <xf numFmtId="2" fontId="46" fillId="0" borderId="0" xfId="0" applyNumberFormat="1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2" fontId="46" fillId="0" borderId="0" xfId="0" applyNumberFormat="1" applyFont="1" applyBorder="1" applyAlignment="1" applyProtection="1">
      <alignment/>
      <protection/>
    </xf>
    <xf numFmtId="1" fontId="46" fillId="0" borderId="0" xfId="0" applyNumberFormat="1" applyFont="1" applyBorder="1" applyAlignment="1" applyProtection="1">
      <alignment/>
      <protection/>
    </xf>
    <xf numFmtId="188" fontId="46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/>
    </xf>
    <xf numFmtId="2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188" fontId="48" fillId="0" borderId="0" xfId="0" applyNumberFormat="1" applyFont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188" fontId="70" fillId="0" borderId="0" xfId="0" applyNumberFormat="1" applyFont="1" applyAlignment="1" applyProtection="1">
      <alignment horizontal="left"/>
      <protection/>
    </xf>
    <xf numFmtId="188" fontId="70" fillId="0" borderId="0" xfId="0" applyNumberFormat="1" applyFont="1" applyAlignment="1" applyProtection="1">
      <alignment horizontal="right"/>
      <protection/>
    </xf>
    <xf numFmtId="0" fontId="70" fillId="0" borderId="0" xfId="0" applyFont="1" applyAlignment="1" applyProtection="1">
      <alignment horizontal="left"/>
      <protection/>
    </xf>
    <xf numFmtId="0" fontId="53" fillId="0" borderId="0" xfId="0" applyFont="1" applyAlignment="1" applyProtection="1" quotePrefix="1">
      <alignment horizontal="right"/>
      <protection/>
    </xf>
    <xf numFmtId="0" fontId="85" fillId="0" borderId="0" xfId="0" applyFont="1" applyAlignment="1" applyProtection="1" quotePrefix="1">
      <alignment horizontal="left"/>
      <protection/>
    </xf>
    <xf numFmtId="0" fontId="70" fillId="0" borderId="0" xfId="0" applyFont="1" applyAlignment="1" applyProtection="1">
      <alignment horizontal="right"/>
      <protection/>
    </xf>
    <xf numFmtId="189" fontId="45" fillId="0" borderId="0" xfId="0" applyNumberFormat="1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right"/>
      <protection/>
    </xf>
    <xf numFmtId="188" fontId="40" fillId="0" borderId="0" xfId="0" applyNumberFormat="1" applyFont="1" applyAlignment="1" applyProtection="1">
      <alignment horizontal="right"/>
      <protection/>
    </xf>
    <xf numFmtId="2" fontId="45" fillId="0" borderId="0" xfId="0" applyNumberFormat="1" applyFont="1" applyBorder="1" applyAlignment="1" applyProtection="1">
      <alignment/>
      <protection/>
    </xf>
    <xf numFmtId="188" fontId="40" fillId="0" borderId="0" xfId="0" applyNumberFormat="1" applyFont="1" applyBorder="1" applyAlignment="1" applyProtection="1">
      <alignment/>
      <protection locked="0"/>
    </xf>
    <xf numFmtId="188" fontId="40" fillId="0" borderId="0" xfId="0" applyNumberFormat="1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188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 locked="0"/>
    </xf>
    <xf numFmtId="188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/>
      <protection locked="0"/>
    </xf>
    <xf numFmtId="188" fontId="5" fillId="0" borderId="0" xfId="0" applyNumberFormat="1" applyFont="1" applyAlignment="1" applyProtection="1">
      <alignment horizontal="right"/>
      <protection/>
    </xf>
    <xf numFmtId="2" fontId="48" fillId="0" borderId="22" xfId="0" applyNumberFormat="1" applyFont="1" applyBorder="1" applyAlignment="1" applyProtection="1">
      <alignment/>
      <protection/>
    </xf>
    <xf numFmtId="188" fontId="45" fillId="0" borderId="0" xfId="0" applyNumberFormat="1" applyFont="1" applyAlignment="1" applyProtection="1">
      <alignment horizontal="right"/>
      <protection/>
    </xf>
    <xf numFmtId="1" fontId="70" fillId="2" borderId="1" xfId="0" applyNumberFormat="1" applyFont="1" applyFill="1" applyBorder="1" applyAlignment="1" applyProtection="1">
      <alignment horizontal="center"/>
      <protection locked="0"/>
    </xf>
    <xf numFmtId="0" fontId="70" fillId="2" borderId="1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/>
    </xf>
    <xf numFmtId="1" fontId="46" fillId="0" borderId="0" xfId="0" applyNumberFormat="1" applyFont="1" applyAlignment="1" applyProtection="1">
      <alignment horizontal="right"/>
      <protection/>
    </xf>
    <xf numFmtId="0" fontId="48" fillId="0" borderId="0" xfId="0" applyFont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 locked="0"/>
    </xf>
    <xf numFmtId="188" fontId="45" fillId="0" borderId="1" xfId="0" applyNumberFormat="1" applyFont="1" applyBorder="1" applyAlignment="1">
      <alignment/>
    </xf>
    <xf numFmtId="190" fontId="45" fillId="0" borderId="1" xfId="0" applyNumberFormat="1" applyFont="1" applyBorder="1" applyAlignment="1">
      <alignment/>
    </xf>
    <xf numFmtId="2" fontId="44" fillId="0" borderId="1" xfId="0" applyNumberFormat="1" applyFont="1" applyFill="1" applyBorder="1" applyAlignment="1" applyProtection="1">
      <alignment/>
      <protection/>
    </xf>
    <xf numFmtId="2" fontId="7" fillId="0" borderId="5" xfId="0" applyNumberFormat="1" applyFont="1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189" fontId="50" fillId="0" borderId="0" xfId="0" applyNumberFormat="1" applyFont="1" applyFill="1" applyBorder="1" applyAlignment="1" applyProtection="1">
      <alignment horizontal="center"/>
      <protection locked="0"/>
    </xf>
    <xf numFmtId="2" fontId="4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 applyProtection="1">
      <alignment/>
      <protection locked="0"/>
    </xf>
    <xf numFmtId="189" fontId="46" fillId="0" borderId="0" xfId="0" applyNumberFormat="1" applyFont="1" applyFill="1" applyBorder="1" applyAlignment="1" applyProtection="1">
      <alignment/>
      <protection locked="0"/>
    </xf>
    <xf numFmtId="0" fontId="53" fillId="0" borderId="22" xfId="0" applyFont="1" applyBorder="1" applyAlignment="1">
      <alignment/>
    </xf>
    <xf numFmtId="188" fontId="46" fillId="0" borderId="0" xfId="0" applyNumberFormat="1" applyFont="1" applyAlignment="1" applyProtection="1">
      <alignment/>
      <protection/>
    </xf>
    <xf numFmtId="2" fontId="40" fillId="0" borderId="9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88" fontId="40" fillId="0" borderId="9" xfId="0" applyNumberFormat="1" applyFont="1" applyBorder="1" applyAlignment="1">
      <alignment/>
    </xf>
    <xf numFmtId="188" fontId="40" fillId="0" borderId="0" xfId="0" applyNumberFormat="1" applyFont="1" applyBorder="1" applyAlignment="1">
      <alignment/>
    </xf>
    <xf numFmtId="192" fontId="40" fillId="0" borderId="10" xfId="0" applyNumberFormat="1" applyFont="1" applyBorder="1" applyAlignment="1">
      <alignment/>
    </xf>
    <xf numFmtId="188" fontId="40" fillId="0" borderId="10" xfId="0" applyNumberFormat="1" applyFont="1" applyBorder="1" applyAlignment="1">
      <alignment/>
    </xf>
    <xf numFmtId="192" fontId="40" fillId="0" borderId="10" xfId="0" applyNumberFormat="1" applyFont="1" applyBorder="1" applyAlignment="1">
      <alignment horizontal="right"/>
    </xf>
    <xf numFmtId="192" fontId="40" fillId="0" borderId="0" xfId="0" applyNumberFormat="1" applyFont="1" applyBorder="1" applyAlignment="1">
      <alignment horizontal="right"/>
    </xf>
    <xf numFmtId="0" fontId="40" fillId="0" borderId="29" xfId="0" applyFont="1" applyBorder="1" applyAlignment="1">
      <alignment/>
    </xf>
    <xf numFmtId="192" fontId="4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189" fontId="19" fillId="0" borderId="0" xfId="0" applyNumberFormat="1" applyFont="1" applyBorder="1" applyAlignment="1">
      <alignment/>
    </xf>
    <xf numFmtId="189" fontId="40" fillId="0" borderId="0" xfId="0" applyNumberFormat="1" applyFont="1" applyBorder="1" applyAlignment="1">
      <alignment/>
    </xf>
    <xf numFmtId="193" fontId="40" fillId="0" borderId="0" xfId="0" applyNumberFormat="1" applyFont="1" applyBorder="1" applyAlignment="1">
      <alignment/>
    </xf>
    <xf numFmtId="188" fontId="40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189" fontId="46" fillId="0" borderId="0" xfId="0" applyNumberFormat="1" applyFont="1" applyAlignment="1" applyProtection="1">
      <alignment horizontal="left"/>
      <protection/>
    </xf>
    <xf numFmtId="188" fontId="45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" xfId="0" applyFont="1" applyBorder="1" applyAlignment="1">
      <alignment/>
    </xf>
    <xf numFmtId="0" fontId="45" fillId="0" borderId="0" xfId="0" applyFont="1" applyAlignment="1">
      <alignment/>
    </xf>
    <xf numFmtId="0" fontId="40" fillId="0" borderId="21" xfId="0" applyFont="1" applyBorder="1" applyAlignment="1">
      <alignment/>
    </xf>
    <xf numFmtId="188" fontId="40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 applyProtection="1">
      <alignment/>
      <protection/>
    </xf>
    <xf numFmtId="189" fontId="40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Continuous"/>
      <protection/>
    </xf>
    <xf numFmtId="0" fontId="46" fillId="0" borderId="0" xfId="0" applyFont="1" applyFill="1" applyBorder="1" applyAlignment="1" applyProtection="1">
      <alignment horizontal="left"/>
      <protection/>
    </xf>
    <xf numFmtId="189" fontId="40" fillId="0" borderId="0" xfId="0" applyNumberFormat="1" applyFont="1" applyFill="1" applyBorder="1" applyAlignment="1" applyProtection="1">
      <alignment/>
      <protection/>
    </xf>
    <xf numFmtId="188" fontId="40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1" fontId="44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7" fillId="0" borderId="0" xfId="0" applyFont="1" applyAlignment="1">
      <alignment/>
    </xf>
    <xf numFmtId="1" fontId="70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/>
    </xf>
    <xf numFmtId="189" fontId="70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left"/>
      <protection locked="0"/>
    </xf>
    <xf numFmtId="189" fontId="40" fillId="0" borderId="0" xfId="0" applyNumberFormat="1" applyFont="1" applyFill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71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88" fontId="45" fillId="0" borderId="0" xfId="0" applyNumberFormat="1" applyFont="1" applyFill="1" applyBorder="1" applyAlignment="1" applyProtection="1">
      <alignment horizontal="right"/>
      <protection/>
    </xf>
    <xf numFmtId="0" fontId="68" fillId="0" borderId="0" xfId="0" applyFont="1" applyFill="1" applyBorder="1" applyAlignment="1" applyProtection="1">
      <alignment/>
      <protection/>
    </xf>
    <xf numFmtId="188" fontId="33" fillId="0" borderId="0" xfId="0" applyNumberFormat="1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189" fontId="45" fillId="0" borderId="0" xfId="0" applyNumberFormat="1" applyFont="1" applyFill="1" applyAlignment="1" applyProtection="1">
      <alignment/>
      <protection/>
    </xf>
    <xf numFmtId="188" fontId="70" fillId="0" borderId="0" xfId="0" applyNumberFormat="1" applyFont="1" applyFill="1" applyBorder="1" applyAlignment="1" applyProtection="1">
      <alignment horizontal="left"/>
      <protection/>
    </xf>
    <xf numFmtId="1" fontId="71" fillId="0" borderId="0" xfId="0" applyNumberFormat="1" applyFont="1" applyFill="1" applyBorder="1" applyAlignment="1" applyProtection="1">
      <alignment/>
      <protection/>
    </xf>
    <xf numFmtId="188" fontId="71" fillId="0" borderId="0" xfId="0" applyNumberFormat="1" applyFont="1" applyFill="1" applyBorder="1" applyAlignment="1" applyProtection="1">
      <alignment/>
      <protection/>
    </xf>
    <xf numFmtId="1" fontId="88" fillId="0" borderId="0" xfId="0" applyNumberFormat="1" applyFont="1" applyFill="1" applyBorder="1" applyAlignment="1" applyProtection="1">
      <alignment horizontal="center"/>
      <protection/>
    </xf>
    <xf numFmtId="0" fontId="8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188" fontId="18" fillId="0" borderId="0" xfId="0" applyNumberFormat="1" applyFont="1" applyFill="1" applyAlignment="1" applyProtection="1">
      <alignment horizontal="right"/>
      <protection/>
    </xf>
    <xf numFmtId="2" fontId="70" fillId="0" borderId="0" xfId="0" applyNumberFormat="1" applyFont="1" applyFill="1" applyBorder="1" applyAlignment="1" applyProtection="1">
      <alignment/>
      <protection/>
    </xf>
    <xf numFmtId="189" fontId="70" fillId="0" borderId="0" xfId="0" applyNumberFormat="1" applyFont="1" applyFill="1" applyBorder="1" applyAlignment="1" applyProtection="1">
      <alignment/>
      <protection/>
    </xf>
    <xf numFmtId="192" fontId="45" fillId="0" borderId="0" xfId="0" applyNumberFormat="1" applyFont="1" applyAlignment="1" applyProtection="1">
      <alignment/>
      <protection/>
    </xf>
    <xf numFmtId="189" fontId="33" fillId="0" borderId="0" xfId="0" applyNumberFormat="1" applyFont="1" applyAlignment="1" applyProtection="1">
      <alignment/>
      <protection/>
    </xf>
    <xf numFmtId="188" fontId="70" fillId="0" borderId="0" xfId="0" applyNumberFormat="1" applyFont="1" applyFill="1" applyBorder="1" applyAlignment="1" applyProtection="1">
      <alignment/>
      <protection/>
    </xf>
    <xf numFmtId="189" fontId="45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/>
      <protection/>
    </xf>
    <xf numFmtId="189" fontId="33" fillId="0" borderId="0" xfId="0" applyNumberFormat="1" applyFont="1" applyFill="1" applyBorder="1" applyAlignment="1" applyProtection="1">
      <alignment/>
      <protection/>
    </xf>
    <xf numFmtId="188" fontId="90" fillId="0" borderId="0" xfId="0" applyNumberFormat="1" applyFont="1" applyBorder="1" applyAlignment="1" applyProtection="1">
      <alignment/>
      <protection/>
    </xf>
    <xf numFmtId="1" fontId="53" fillId="0" borderId="0" xfId="0" applyNumberFormat="1" applyFont="1" applyBorder="1" applyAlignment="1" applyProtection="1">
      <alignment/>
      <protection/>
    </xf>
    <xf numFmtId="188" fontId="53" fillId="0" borderId="0" xfId="0" applyNumberFormat="1" applyFont="1" applyFill="1" applyBorder="1" applyAlignment="1" applyProtection="1">
      <alignment/>
      <protection/>
    </xf>
    <xf numFmtId="189" fontId="91" fillId="0" borderId="0" xfId="0" applyNumberFormat="1" applyFont="1" applyFill="1" applyBorder="1" applyAlignment="1" applyProtection="1">
      <alignment horizontal="right"/>
      <protection/>
    </xf>
    <xf numFmtId="188" fontId="45" fillId="0" borderId="0" xfId="0" applyNumberFormat="1" applyFont="1" applyBorder="1" applyAlignment="1" applyProtection="1">
      <alignment/>
      <protection/>
    </xf>
    <xf numFmtId="188" fontId="45" fillId="0" borderId="0" xfId="0" applyNumberFormat="1" applyFont="1" applyBorder="1" applyAlignment="1" applyProtection="1">
      <alignment horizontal="right"/>
      <protection/>
    </xf>
    <xf numFmtId="190" fontId="45" fillId="0" borderId="0" xfId="0" applyNumberFormat="1" applyFont="1" applyBorder="1" applyAlignment="1" applyProtection="1">
      <alignment/>
      <protection/>
    </xf>
    <xf numFmtId="188" fontId="45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18" fillId="0" borderId="0" xfId="0" applyFont="1" applyAlignment="1" applyProtection="1" quotePrefix="1">
      <alignment horizontal="left"/>
      <protection/>
    </xf>
    <xf numFmtId="199" fontId="48" fillId="0" borderId="0" xfId="0" applyNumberFormat="1" applyFont="1" applyBorder="1" applyAlignment="1" applyProtection="1">
      <alignment/>
      <protection/>
    </xf>
    <xf numFmtId="2" fontId="48" fillId="0" borderId="0" xfId="0" applyNumberFormat="1" applyFont="1" applyBorder="1" applyAlignment="1" applyProtection="1">
      <alignment/>
      <protection/>
    </xf>
    <xf numFmtId="188" fontId="48" fillId="0" borderId="0" xfId="0" applyNumberFormat="1" applyFont="1" applyBorder="1" applyAlignment="1" applyProtection="1" quotePrefix="1">
      <alignment horizontal="left"/>
      <protection/>
    </xf>
    <xf numFmtId="0" fontId="52" fillId="0" borderId="0" xfId="0" applyFont="1" applyBorder="1" applyAlignment="1" applyProtection="1">
      <alignment/>
      <protection/>
    </xf>
    <xf numFmtId="188" fontId="52" fillId="0" borderId="0" xfId="0" applyNumberFormat="1" applyFont="1" applyBorder="1" applyAlignment="1" applyProtection="1">
      <alignment/>
      <protection/>
    </xf>
    <xf numFmtId="188" fontId="52" fillId="0" borderId="0" xfId="0" applyNumberFormat="1" applyFont="1" applyFill="1" applyBorder="1" applyAlignment="1" applyProtection="1">
      <alignment horizontal="right"/>
      <protection/>
    </xf>
    <xf numFmtId="189" fontId="52" fillId="0" borderId="0" xfId="0" applyNumberFormat="1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52" fillId="0" borderId="0" xfId="0" applyFont="1" applyBorder="1" applyAlignment="1">
      <alignment/>
    </xf>
    <xf numFmtId="1" fontId="70" fillId="0" borderId="0" xfId="0" applyNumberFormat="1" applyFont="1" applyFill="1" applyBorder="1" applyAlignment="1" applyProtection="1">
      <alignment horizontal="left"/>
      <protection locked="0"/>
    </xf>
    <xf numFmtId="188" fontId="45" fillId="0" borderId="0" xfId="0" applyNumberFormat="1" applyFont="1" applyBorder="1" applyAlignment="1">
      <alignment/>
    </xf>
    <xf numFmtId="0" fontId="45" fillId="0" borderId="0" xfId="0" applyFont="1" applyAlignment="1">
      <alignment horizontal="right"/>
    </xf>
    <xf numFmtId="189" fontId="45" fillId="0" borderId="0" xfId="0" applyNumberFormat="1" applyFont="1" applyAlignment="1">
      <alignment/>
    </xf>
    <xf numFmtId="0" fontId="43" fillId="0" borderId="0" xfId="0" applyFont="1" applyBorder="1" applyAlignment="1" applyProtection="1">
      <alignment/>
      <protection/>
    </xf>
    <xf numFmtId="0" fontId="45" fillId="0" borderId="0" xfId="0" applyFont="1" applyAlignment="1">
      <alignment horizontal="center"/>
    </xf>
    <xf numFmtId="188" fontId="70" fillId="0" borderId="1" xfId="0" applyNumberFormat="1" applyFont="1" applyFill="1" applyBorder="1" applyAlignment="1" applyProtection="1">
      <alignment/>
      <protection/>
    </xf>
    <xf numFmtId="188" fontId="45" fillId="0" borderId="1" xfId="0" applyNumberFormat="1" applyFont="1" applyBorder="1" applyAlignment="1" applyProtection="1" quotePrefix="1">
      <alignment horizontal="left"/>
      <protection/>
    </xf>
    <xf numFmtId="0" fontId="0" fillId="0" borderId="23" xfId="0" applyBorder="1" applyAlignment="1">
      <alignment/>
    </xf>
    <xf numFmtId="188" fontId="70" fillId="0" borderId="0" xfId="0" applyNumberFormat="1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89" fontId="45" fillId="0" borderId="3" xfId="0" applyNumberFormat="1" applyFont="1" applyBorder="1" applyAlignment="1">
      <alignment horizontal="right"/>
    </xf>
    <xf numFmtId="189" fontId="45" fillId="0" borderId="1" xfId="0" applyNumberFormat="1" applyFont="1" applyBorder="1" applyAlignment="1">
      <alignment horizontal="right"/>
    </xf>
    <xf numFmtId="189" fontId="45" fillId="0" borderId="17" xfId="0" applyNumberFormat="1" applyFont="1" applyBorder="1" applyAlignment="1">
      <alignment horizontal="right"/>
    </xf>
    <xf numFmtId="0" fontId="53" fillId="0" borderId="0" xfId="0" applyFont="1" applyAlignment="1" applyProtection="1">
      <alignment/>
      <protection/>
    </xf>
    <xf numFmtId="188" fontId="70" fillId="0" borderId="0" xfId="0" applyNumberFormat="1" applyFont="1" applyFill="1" applyBorder="1" applyAlignment="1" applyProtection="1">
      <alignment/>
      <protection locked="0"/>
    </xf>
    <xf numFmtId="0" fontId="44" fillId="0" borderId="3" xfId="0" applyFont="1" applyBorder="1" applyAlignment="1">
      <alignment horizontal="right"/>
    </xf>
    <xf numFmtId="0" fontId="44" fillId="0" borderId="1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2" fontId="48" fillId="0" borderId="22" xfId="0" applyNumberFormat="1" applyFont="1" applyBorder="1" applyAlignment="1" applyProtection="1">
      <alignment/>
      <protection/>
    </xf>
    <xf numFmtId="0" fontId="43" fillId="0" borderId="0" xfId="0" applyFont="1" applyBorder="1" applyAlignment="1">
      <alignment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6" fillId="3" borderId="0" xfId="0" applyFont="1" applyFill="1" applyBorder="1" applyAlignment="1">
      <alignment horizontal="left"/>
    </xf>
    <xf numFmtId="0" fontId="45" fillId="0" borderId="18" xfId="0" applyFont="1" applyBorder="1" applyAlignment="1">
      <alignment/>
    </xf>
    <xf numFmtId="0" fontId="0" fillId="0" borderId="21" xfId="0" applyBorder="1" applyAlignment="1">
      <alignment/>
    </xf>
    <xf numFmtId="0" fontId="45" fillId="0" borderId="9" xfId="0" applyFont="1" applyBorder="1" applyAlignment="1">
      <alignment/>
    </xf>
    <xf numFmtId="0" fontId="0" fillId="0" borderId="10" xfId="0" applyBorder="1" applyAlignment="1">
      <alignment/>
    </xf>
    <xf numFmtId="0" fontId="45" fillId="0" borderId="20" xfId="0" applyFont="1" applyBorder="1" applyAlignment="1">
      <alignment/>
    </xf>
    <xf numFmtId="0" fontId="44" fillId="0" borderId="18" xfId="0" applyFont="1" applyBorder="1" applyAlignment="1" applyProtection="1">
      <alignment horizontal="left"/>
      <protection/>
    </xf>
    <xf numFmtId="0" fontId="40" fillId="0" borderId="21" xfId="0" applyFont="1" applyBorder="1" applyAlignment="1" applyProtection="1">
      <alignment/>
      <protection/>
    </xf>
    <xf numFmtId="0" fontId="46" fillId="0" borderId="18" xfId="0" applyFont="1" applyBorder="1" applyAlignment="1" applyProtection="1" quotePrefix="1">
      <alignment horizontal="left"/>
      <protection/>
    </xf>
    <xf numFmtId="0" fontId="40" fillId="0" borderId="21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Continuous"/>
      <protection/>
    </xf>
    <xf numFmtId="0" fontId="40" fillId="0" borderId="23" xfId="0" applyFont="1" applyBorder="1" applyAlignment="1" applyProtection="1">
      <alignment horizontal="centerContinuous"/>
      <protection/>
    </xf>
    <xf numFmtId="0" fontId="43" fillId="0" borderId="0" xfId="0" applyFont="1" applyBorder="1" applyAlignment="1">
      <alignment/>
    </xf>
    <xf numFmtId="0" fontId="42" fillId="0" borderId="0" xfId="0" applyFont="1" applyBorder="1" applyAlignment="1" applyProtection="1">
      <alignment horizontal="center"/>
      <protection/>
    </xf>
    <xf numFmtId="0" fontId="55" fillId="0" borderId="30" xfId="0" applyFont="1" applyBorder="1" applyAlignment="1" applyProtection="1">
      <alignment horizontal="center"/>
      <protection/>
    </xf>
    <xf numFmtId="1" fontId="55" fillId="0" borderId="31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9" fillId="0" borderId="11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189" fontId="21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45" fillId="0" borderId="0" xfId="0" applyNumberFormat="1" applyFont="1" applyFill="1" applyBorder="1" applyAlignment="1" applyProtection="1">
      <alignment horizontal="right"/>
      <protection/>
    </xf>
    <xf numFmtId="188" fontId="43" fillId="0" borderId="0" xfId="0" applyNumberFormat="1" applyFont="1" applyAlignment="1" applyProtection="1">
      <alignment horizontal="right"/>
      <protection/>
    </xf>
    <xf numFmtId="188" fontId="45" fillId="0" borderId="1" xfId="0" applyNumberFormat="1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2" fontId="40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88" fontId="48" fillId="0" borderId="0" xfId="0" applyNumberFormat="1" applyFont="1" applyAlignment="1" applyProtection="1" quotePrefix="1">
      <alignment horizontal="right"/>
      <protection/>
    </xf>
    <xf numFmtId="188" fontId="48" fillId="0" borderId="0" xfId="0" applyNumberFormat="1" applyFont="1" applyAlignment="1" applyProtection="1">
      <alignment horizontal="right"/>
      <protection/>
    </xf>
    <xf numFmtId="0" fontId="40" fillId="0" borderId="9" xfId="0" applyFont="1" applyFill="1" applyBorder="1" applyAlignment="1">
      <alignment horizontal="left"/>
    </xf>
    <xf numFmtId="0" fontId="40" fillId="0" borderId="20" xfId="0" applyFont="1" applyFill="1" applyBorder="1" applyAlignment="1">
      <alignment horizontal="left"/>
    </xf>
    <xf numFmtId="0" fontId="40" fillId="0" borderId="24" xfId="0" applyFont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32" xfId="0" applyFont="1" applyFill="1" applyBorder="1" applyAlignment="1">
      <alignment horizontal="left"/>
    </xf>
    <xf numFmtId="0" fontId="40" fillId="0" borderId="33" xfId="0" applyFont="1" applyBorder="1" applyAlignment="1">
      <alignment/>
    </xf>
    <xf numFmtId="2" fontId="40" fillId="0" borderId="33" xfId="0" applyNumberFormat="1" applyFont="1" applyBorder="1" applyAlignment="1">
      <alignment/>
    </xf>
    <xf numFmtId="0" fontId="95" fillId="0" borderId="0" xfId="0" applyFont="1" applyBorder="1" applyAlignment="1" applyProtection="1">
      <alignment/>
      <protection/>
    </xf>
    <xf numFmtId="188" fontId="95" fillId="0" borderId="0" xfId="0" applyNumberFormat="1" applyFont="1" applyBorder="1" applyAlignment="1" applyProtection="1">
      <alignment/>
      <protection/>
    </xf>
    <xf numFmtId="188" fontId="95" fillId="0" borderId="0" xfId="0" applyNumberFormat="1" applyFont="1" applyFill="1" applyBorder="1" applyAlignment="1" applyProtection="1">
      <alignment horizontal="right"/>
      <protection/>
    </xf>
    <xf numFmtId="189" fontId="95" fillId="0" borderId="0" xfId="0" applyNumberFormat="1" applyFont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189" fontId="97" fillId="0" borderId="0" xfId="0" applyNumberFormat="1" applyFont="1" applyBorder="1" applyAlignment="1" applyProtection="1">
      <alignment/>
      <protection/>
    </xf>
    <xf numFmtId="188" fontId="97" fillId="0" borderId="0" xfId="0" applyNumberFormat="1" applyFont="1" applyBorder="1" applyAlignment="1" applyProtection="1">
      <alignment horizontal="center"/>
      <protection/>
    </xf>
    <xf numFmtId="189" fontId="97" fillId="0" borderId="0" xfId="0" applyNumberFormat="1" applyFont="1" applyBorder="1" applyAlignment="1" applyProtection="1">
      <alignment horizontal="right"/>
      <protection/>
    </xf>
    <xf numFmtId="199" fontId="97" fillId="0" borderId="0" xfId="0" applyNumberFormat="1" applyFont="1" applyBorder="1" applyAlignment="1" applyProtection="1">
      <alignment/>
      <protection/>
    </xf>
    <xf numFmtId="188" fontId="97" fillId="0" borderId="0" xfId="0" applyNumberFormat="1" applyFont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199" fontId="98" fillId="0" borderId="0" xfId="0" applyNumberFormat="1" applyFont="1" applyBorder="1" applyAlignment="1" applyProtection="1">
      <alignment/>
      <protection/>
    </xf>
    <xf numFmtId="188" fontId="97" fillId="0" borderId="0" xfId="0" applyNumberFormat="1" applyFont="1" applyBorder="1" applyAlignment="1" applyProtection="1">
      <alignment/>
      <protection/>
    </xf>
    <xf numFmtId="188" fontId="98" fillId="0" borderId="0" xfId="0" applyNumberFormat="1" applyFont="1" applyBorder="1" applyAlignment="1" applyProtection="1">
      <alignment/>
      <protection/>
    </xf>
    <xf numFmtId="188" fontId="97" fillId="0" borderId="0" xfId="0" applyNumberFormat="1" applyFont="1" applyBorder="1" applyAlignment="1" applyProtection="1">
      <alignment horizontal="right"/>
      <protection/>
    </xf>
    <xf numFmtId="2" fontId="98" fillId="0" borderId="0" xfId="0" applyNumberFormat="1" applyFont="1" applyBorder="1" applyAlignment="1" applyProtection="1">
      <alignment/>
      <protection/>
    </xf>
    <xf numFmtId="190" fontId="97" fillId="0" borderId="0" xfId="0" applyNumberFormat="1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/>
      <protection/>
    </xf>
    <xf numFmtId="0" fontId="101" fillId="0" borderId="0" xfId="0" applyFont="1" applyBorder="1" applyAlignment="1" applyProtection="1" quotePrefix="1">
      <alignment horizontal="left"/>
      <protection/>
    </xf>
    <xf numFmtId="0" fontId="102" fillId="0" borderId="0" xfId="0" applyFont="1" applyFill="1" applyBorder="1" applyAlignment="1" applyProtection="1">
      <alignment/>
      <protection/>
    </xf>
    <xf numFmtId="0" fontId="103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Border="1" applyAlignment="1" applyProtection="1">
      <alignment horizontal="left"/>
      <protection locked="0"/>
    </xf>
    <xf numFmtId="188" fontId="100" fillId="0" borderId="0" xfId="0" applyNumberFormat="1" applyFont="1" applyBorder="1" applyAlignment="1" applyProtection="1">
      <alignment/>
      <protection/>
    </xf>
    <xf numFmtId="0" fontId="100" fillId="0" borderId="0" xfId="0" applyFont="1" applyBorder="1" applyAlignment="1" applyProtection="1">
      <alignment horizontal="right"/>
      <protection/>
    </xf>
    <xf numFmtId="189" fontId="100" fillId="0" borderId="0" xfId="0" applyNumberFormat="1" applyFont="1" applyBorder="1" applyAlignment="1" applyProtection="1">
      <alignment/>
      <protection/>
    </xf>
    <xf numFmtId="1" fontId="97" fillId="0" borderId="0" xfId="0" applyNumberFormat="1" applyFont="1" applyFill="1" applyBorder="1" applyAlignment="1" applyProtection="1">
      <alignment horizontal="left"/>
      <protection locked="0"/>
    </xf>
    <xf numFmtId="2" fontId="101" fillId="0" borderId="0" xfId="0" applyNumberFormat="1" applyFont="1" applyBorder="1" applyAlignment="1" applyProtection="1">
      <alignment/>
      <protection/>
    </xf>
    <xf numFmtId="0" fontId="101" fillId="0" borderId="0" xfId="0" applyFont="1" applyBorder="1" applyAlignment="1">
      <alignment horizontal="right"/>
    </xf>
    <xf numFmtId="0" fontId="98" fillId="0" borderId="0" xfId="0" applyFont="1" applyBorder="1" applyAlignment="1" applyProtection="1">
      <alignment horizontal="right"/>
      <protection/>
    </xf>
    <xf numFmtId="189" fontId="105" fillId="0" borderId="0" xfId="0" applyNumberFormat="1" applyFont="1" applyBorder="1" applyAlignment="1" applyProtection="1">
      <alignment/>
      <protection/>
    </xf>
    <xf numFmtId="0" fontId="105" fillId="0" borderId="0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2" fontId="98" fillId="0" borderId="0" xfId="0" applyNumberFormat="1" applyFont="1" applyBorder="1" applyAlignment="1" applyProtection="1">
      <alignment/>
      <protection/>
    </xf>
    <xf numFmtId="0" fontId="98" fillId="0" borderId="0" xfId="0" applyFont="1" applyFill="1" applyBorder="1" applyAlignment="1" applyProtection="1">
      <alignment horizontal="left"/>
      <protection locked="0"/>
    </xf>
    <xf numFmtId="0" fontId="99" fillId="0" borderId="0" xfId="0" applyFont="1" applyFill="1" applyBorder="1" applyAlignment="1">
      <alignment/>
    </xf>
    <xf numFmtId="0" fontId="104" fillId="0" borderId="0" xfId="0" applyFont="1" applyFill="1" applyBorder="1" applyAlignment="1" applyProtection="1">
      <alignment/>
      <protection/>
    </xf>
    <xf numFmtId="188" fontId="97" fillId="0" borderId="0" xfId="0" applyNumberFormat="1" applyFont="1" applyFill="1" applyBorder="1" applyAlignment="1" applyProtection="1">
      <alignment horizontal="right"/>
      <protection/>
    </xf>
    <xf numFmtId="0" fontId="53" fillId="0" borderId="1" xfId="0" applyFont="1" applyBorder="1" applyAlignment="1">
      <alignment/>
    </xf>
    <xf numFmtId="0" fontId="43" fillId="0" borderId="22" xfId="0" applyFont="1" applyFill="1" applyBorder="1" applyAlignment="1" applyProtection="1">
      <alignment/>
      <protection/>
    </xf>
    <xf numFmtId="188" fontId="40" fillId="0" borderId="0" xfId="0" applyNumberFormat="1" applyFont="1" applyBorder="1" applyAlignment="1" applyProtection="1">
      <alignment horizontal="left"/>
      <protection/>
    </xf>
    <xf numFmtId="0" fontId="45" fillId="0" borderId="0" xfId="0" applyFont="1" applyFill="1" applyBorder="1" applyAlignment="1">
      <alignment horizontal="left"/>
    </xf>
    <xf numFmtId="188" fontId="48" fillId="0" borderId="0" xfId="0" applyNumberFormat="1" applyFont="1" applyAlignment="1" applyProtection="1">
      <alignment horizontal="right"/>
      <protection/>
    </xf>
    <xf numFmtId="188" fontId="45" fillId="0" borderId="0" xfId="0" applyNumberFormat="1" applyFont="1" applyFill="1" applyAlignment="1" applyProtection="1">
      <alignment horizontal="right"/>
      <protection/>
    </xf>
    <xf numFmtId="189" fontId="45" fillId="0" borderId="0" xfId="0" applyNumberFormat="1" applyFont="1" applyAlignment="1" applyProtection="1">
      <alignment horizontal="right"/>
      <protection/>
    </xf>
    <xf numFmtId="189" fontId="45" fillId="0" borderId="0" xfId="0" applyNumberFormat="1" applyFont="1" applyAlignment="1" applyProtection="1">
      <alignment/>
      <protection/>
    </xf>
    <xf numFmtId="0" fontId="53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5" xfId="0" applyFont="1" applyBorder="1" applyAlignment="1">
      <alignment/>
    </xf>
    <xf numFmtId="189" fontId="45" fillId="0" borderId="0" xfId="0" applyNumberFormat="1" applyFont="1" applyFill="1" applyBorder="1" applyAlignment="1" applyProtection="1">
      <alignment horizontal="right"/>
      <protection/>
    </xf>
    <xf numFmtId="189" fontId="48" fillId="0" borderId="22" xfId="0" applyNumberFormat="1" applyFont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/>
      <protection locked="0"/>
    </xf>
    <xf numFmtId="188" fontId="70" fillId="0" borderId="0" xfId="0" applyNumberFormat="1" applyFont="1" applyFill="1" applyBorder="1" applyAlignment="1" applyProtection="1">
      <alignment/>
      <protection/>
    </xf>
    <xf numFmtId="189" fontId="70" fillId="0" borderId="0" xfId="0" applyNumberFormat="1" applyFont="1" applyFill="1" applyBorder="1" applyAlignment="1" applyProtection="1">
      <alignment/>
      <protection/>
    </xf>
    <xf numFmtId="192" fontId="45" fillId="0" borderId="0" xfId="0" applyNumberFormat="1" applyFont="1" applyAlignment="1" applyProtection="1">
      <alignment/>
      <protection/>
    </xf>
    <xf numFmtId="188" fontId="45" fillId="0" borderId="0" xfId="0" applyNumberFormat="1" applyFont="1" applyBorder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Fill="1" applyBorder="1" applyAlignment="1" applyProtection="1">
      <alignment/>
      <protection/>
    </xf>
    <xf numFmtId="189" fontId="45" fillId="0" borderId="0" xfId="0" applyNumberFormat="1" applyFont="1" applyFill="1" applyBorder="1" applyAlignment="1" applyProtection="1">
      <alignment/>
      <protection/>
    </xf>
    <xf numFmtId="0" fontId="107" fillId="0" borderId="0" xfId="0" applyFont="1" applyBorder="1" applyAlignment="1">
      <alignment/>
    </xf>
    <xf numFmtId="0" fontId="87" fillId="0" borderId="0" xfId="0" applyFont="1" applyFill="1" applyBorder="1" applyAlignment="1">
      <alignment/>
    </xf>
    <xf numFmtId="0" fontId="43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3" fillId="0" borderId="22" xfId="0" applyFont="1" applyBorder="1" applyAlignment="1">
      <alignment/>
    </xf>
    <xf numFmtId="0" fontId="43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>
      <alignment/>
    </xf>
    <xf numFmtId="0" fontId="53" fillId="0" borderId="22" xfId="0" applyFont="1" applyBorder="1" applyAlignment="1">
      <alignment horizontal="center"/>
    </xf>
    <xf numFmtId="0" fontId="43" fillId="0" borderId="0" xfId="0" applyFont="1" applyBorder="1" applyAlignment="1" applyProtection="1">
      <alignment horizontal="right"/>
      <protection/>
    </xf>
    <xf numFmtId="2" fontId="48" fillId="0" borderId="0" xfId="0" applyNumberFormat="1" applyFont="1" applyAlignment="1">
      <alignment/>
    </xf>
    <xf numFmtId="188" fontId="40" fillId="0" borderId="1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1" fontId="40" fillId="0" borderId="0" xfId="0" applyNumberFormat="1" applyFont="1" applyBorder="1" applyAlignment="1">
      <alignment horizontal="right"/>
    </xf>
    <xf numFmtId="189" fontId="4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0" fillId="0" borderId="19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22" xfId="0" applyFont="1" applyBorder="1" applyAlignment="1">
      <alignment vertical="top"/>
    </xf>
    <xf numFmtId="0" fontId="40" fillId="0" borderId="22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30" xfId="0" applyFont="1" applyBorder="1" applyAlignment="1">
      <alignment/>
    </xf>
    <xf numFmtId="0" fontId="40" fillId="0" borderId="19" xfId="0" applyFont="1" applyBorder="1" applyAlignment="1">
      <alignment vertical="top" wrapText="1"/>
    </xf>
    <xf numFmtId="189" fontId="40" fillId="0" borderId="0" xfId="0" applyNumberFormat="1" applyFont="1" applyAlignment="1">
      <alignment horizontal="right"/>
    </xf>
    <xf numFmtId="0" fontId="40" fillId="0" borderId="2" xfId="0" applyFont="1" applyBorder="1" applyAlignment="1">
      <alignment horizontal="left"/>
    </xf>
    <xf numFmtId="0" fontId="40" fillId="0" borderId="2" xfId="0" applyFont="1" applyBorder="1" applyAlignment="1">
      <alignment/>
    </xf>
    <xf numFmtId="0" fontId="40" fillId="0" borderId="7" xfId="0" applyFont="1" applyBorder="1" applyAlignment="1">
      <alignment horizontal="right"/>
    </xf>
    <xf numFmtId="1" fontId="40" fillId="0" borderId="8" xfId="0" applyNumberFormat="1" applyFont="1" applyBorder="1" applyAlignment="1">
      <alignment horizontal="right"/>
    </xf>
    <xf numFmtId="189" fontId="40" fillId="0" borderId="7" xfId="0" applyNumberFormat="1" applyFont="1" applyBorder="1" applyAlignment="1">
      <alignment horizontal="right"/>
    </xf>
    <xf numFmtId="189" fontId="40" fillId="0" borderId="8" xfId="0" applyNumberFormat="1" applyFont="1" applyBorder="1" applyAlignment="1">
      <alignment horizontal="right"/>
    </xf>
    <xf numFmtId="0" fontId="42" fillId="0" borderId="2" xfId="0" applyFont="1" applyBorder="1" applyAlignment="1">
      <alignment horizontal="right"/>
    </xf>
    <xf numFmtId="0" fontId="42" fillId="0" borderId="7" xfId="0" applyFont="1" applyBorder="1" applyAlignment="1">
      <alignment horizontal="right"/>
    </xf>
    <xf numFmtId="0" fontId="42" fillId="0" borderId="8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0" fontId="40" fillId="0" borderId="34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5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189" fontId="40" fillId="0" borderId="5" xfId="0" applyNumberFormat="1" applyFont="1" applyBorder="1" applyAlignment="1">
      <alignment horizontal="right"/>
    </xf>
    <xf numFmtId="0" fontId="42" fillId="0" borderId="4" xfId="0" applyFont="1" applyBorder="1" applyAlignment="1">
      <alignment horizontal="right"/>
    </xf>
    <xf numFmtId="0" fontId="42" fillId="0" borderId="5" xfId="0" applyFont="1" applyBorder="1" applyAlignment="1">
      <alignment horizontal="right"/>
    </xf>
    <xf numFmtId="0" fontId="42" fillId="0" borderId="6" xfId="0" applyFont="1" applyBorder="1" applyAlignment="1">
      <alignment horizontal="right"/>
    </xf>
    <xf numFmtId="0" fontId="40" fillId="0" borderId="23" xfId="0" applyFont="1" applyBorder="1" applyAlignment="1" applyProtection="1">
      <alignment/>
      <protection/>
    </xf>
    <xf numFmtId="0" fontId="40" fillId="0" borderId="25" xfId="0" applyFont="1" applyBorder="1" applyAlignment="1">
      <alignment/>
    </xf>
    <xf numFmtId="0" fontId="40" fillId="0" borderId="20" xfId="0" applyFont="1" applyBorder="1" applyAlignment="1" applyProtection="1">
      <alignment/>
      <protection/>
    </xf>
    <xf numFmtId="0" fontId="40" fillId="0" borderId="24" xfId="0" applyFont="1" applyBorder="1" applyAlignment="1">
      <alignment/>
    </xf>
    <xf numFmtId="0" fontId="40" fillId="0" borderId="9" xfId="0" applyFont="1" applyBorder="1" applyAlignment="1" applyProtection="1">
      <alignment/>
      <protection/>
    </xf>
    <xf numFmtId="0" fontId="45" fillId="0" borderId="18" xfId="0" applyFont="1" applyBorder="1" applyAlignment="1" applyProtection="1">
      <alignment/>
      <protection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70" fillId="0" borderId="1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 locked="0"/>
    </xf>
    <xf numFmtId="0" fontId="87" fillId="0" borderId="0" xfId="0" applyFont="1" applyBorder="1" applyAlignment="1">
      <alignment horizontal="center"/>
    </xf>
    <xf numFmtId="188" fontId="7" fillId="0" borderId="0" xfId="0" applyNumberFormat="1" applyFont="1" applyBorder="1" applyAlignment="1" applyProtection="1">
      <alignment horizontal="right"/>
      <protection/>
    </xf>
    <xf numFmtId="188" fontId="42" fillId="0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189" fontId="0" fillId="0" borderId="0" xfId="0" applyNumberFormat="1" applyBorder="1" applyAlignment="1">
      <alignment/>
    </xf>
    <xf numFmtId="189" fontId="40" fillId="0" borderId="0" xfId="0" applyNumberFormat="1" applyFont="1" applyBorder="1" applyAlignment="1">
      <alignment horizontal="left"/>
    </xf>
    <xf numFmtId="189" fontId="43" fillId="0" borderId="22" xfId="0" applyNumberFormat="1" applyFont="1" applyBorder="1" applyAlignment="1" applyProtection="1">
      <alignment horizontal="right"/>
      <protection/>
    </xf>
    <xf numFmtId="0" fontId="45" fillId="0" borderId="19" xfId="0" applyFont="1" applyBorder="1" applyAlignment="1">
      <alignment/>
    </xf>
    <xf numFmtId="0" fontId="45" fillId="0" borderId="30" xfId="0" applyFont="1" applyBorder="1" applyAlignment="1">
      <alignment/>
    </xf>
    <xf numFmtId="1" fontId="40" fillId="0" borderId="0" xfId="0" applyNumberFormat="1" applyFont="1" applyAlignment="1">
      <alignment/>
    </xf>
    <xf numFmtId="189" fontId="40" fillId="0" borderId="0" xfId="0" applyNumberFormat="1" applyFont="1" applyAlignment="1">
      <alignment/>
    </xf>
    <xf numFmtId="0" fontId="40" fillId="0" borderId="2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3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4" xfId="0" applyFont="1" applyBorder="1" applyAlignment="1">
      <alignment/>
    </xf>
    <xf numFmtId="189" fontId="40" fillId="0" borderId="19" xfId="0" applyNumberFormat="1" applyFont="1" applyBorder="1" applyAlignment="1">
      <alignment/>
    </xf>
    <xf numFmtId="189" fontId="40" fillId="0" borderId="30" xfId="0" applyNumberFormat="1" applyFont="1" applyBorder="1" applyAlignment="1">
      <alignment/>
    </xf>
    <xf numFmtId="189" fontId="40" fillId="0" borderId="31" xfId="0" applyNumberFormat="1" applyFont="1" applyBorder="1" applyAlignment="1">
      <alignment/>
    </xf>
    <xf numFmtId="188" fontId="48" fillId="0" borderId="22" xfId="0" applyNumberFormat="1" applyFont="1" applyBorder="1" applyAlignment="1" applyProtection="1">
      <alignment horizontal="center"/>
      <protection/>
    </xf>
    <xf numFmtId="189" fontId="40" fillId="0" borderId="0" xfId="0" applyNumberFormat="1" applyFont="1" applyBorder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89" fontId="40" fillId="0" borderId="19" xfId="0" applyNumberFormat="1" applyFont="1" applyBorder="1" applyAlignment="1">
      <alignment horizontal="center"/>
    </xf>
    <xf numFmtId="189" fontId="40" fillId="0" borderId="30" xfId="0" applyNumberFormat="1" applyFont="1" applyBorder="1" applyAlignment="1">
      <alignment horizontal="center"/>
    </xf>
    <xf numFmtId="189" fontId="40" fillId="0" borderId="31" xfId="0" applyNumberFormat="1" applyFont="1" applyBorder="1" applyAlignment="1">
      <alignment horizontal="center"/>
    </xf>
    <xf numFmtId="1" fontId="45" fillId="0" borderId="0" xfId="0" applyNumberFormat="1" applyFont="1" applyBorder="1" applyAlignment="1" applyProtection="1">
      <alignment horizontal="center"/>
      <protection/>
    </xf>
    <xf numFmtId="1" fontId="33" fillId="0" borderId="0" xfId="0" applyNumberFormat="1" applyFont="1" applyBorder="1" applyAlignment="1" applyProtection="1">
      <alignment horizontal="center"/>
      <protection/>
    </xf>
    <xf numFmtId="1" fontId="40" fillId="0" borderId="19" xfId="0" applyNumberFormat="1" applyFont="1" applyBorder="1" applyAlignment="1">
      <alignment horizontal="center"/>
    </xf>
    <xf numFmtId="1" fontId="40" fillId="0" borderId="30" xfId="0" applyNumberFormat="1" applyFont="1" applyBorder="1" applyAlignment="1">
      <alignment horizontal="center"/>
    </xf>
    <xf numFmtId="1" fontId="40" fillId="0" borderId="31" xfId="0" applyNumberFormat="1" applyFont="1" applyBorder="1" applyAlignment="1">
      <alignment horizontal="center"/>
    </xf>
    <xf numFmtId="1" fontId="48" fillId="0" borderId="22" xfId="0" applyNumberFormat="1" applyFont="1" applyBorder="1" applyAlignment="1" applyProtection="1">
      <alignment horizontal="center"/>
      <protection/>
    </xf>
    <xf numFmtId="189" fontId="40" fillId="0" borderId="35" xfId="0" applyNumberFormat="1" applyFont="1" applyBorder="1" applyAlignment="1">
      <alignment/>
    </xf>
    <xf numFmtId="0" fontId="40" fillId="0" borderId="25" xfId="0" applyFont="1" applyBorder="1" applyAlignment="1">
      <alignment horizontal="center"/>
    </xf>
    <xf numFmtId="1" fontId="40" fillId="0" borderId="25" xfId="0" applyNumberFormat="1" applyFont="1" applyBorder="1" applyAlignment="1">
      <alignment horizontal="center"/>
    </xf>
    <xf numFmtId="1" fontId="40" fillId="0" borderId="21" xfId="0" applyNumberFormat="1" applyFont="1" applyBorder="1" applyAlignment="1">
      <alignment horizontal="center"/>
    </xf>
    <xf numFmtId="189" fontId="40" fillId="0" borderId="34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189" fontId="40" fillId="0" borderId="32" xfId="0" applyNumberFormat="1" applyFont="1" applyBorder="1" applyAlignment="1">
      <alignment/>
    </xf>
    <xf numFmtId="0" fontId="40" fillId="0" borderId="24" xfId="0" applyFont="1" applyBorder="1" applyAlignment="1">
      <alignment horizontal="center"/>
    </xf>
    <xf numFmtId="1" fontId="40" fillId="0" borderId="24" xfId="0" applyNumberFormat="1" applyFont="1" applyBorder="1" applyAlignment="1">
      <alignment horizontal="center"/>
    </xf>
    <xf numFmtId="1" fontId="40" fillId="0" borderId="23" xfId="0" applyNumberFormat="1" applyFont="1" applyBorder="1" applyAlignment="1">
      <alignment horizontal="center"/>
    </xf>
    <xf numFmtId="1" fontId="44" fillId="0" borderId="10" xfId="0" applyNumberFormat="1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right"/>
      <protection/>
    </xf>
    <xf numFmtId="0" fontId="18" fillId="0" borderId="18" xfId="0" applyFont="1" applyBorder="1" applyAlignment="1" applyProtection="1">
      <alignment horizontal="right"/>
      <protection/>
    </xf>
    <xf numFmtId="0" fontId="53" fillId="0" borderId="21" xfId="0" applyFont="1" applyBorder="1" applyAlignment="1">
      <alignment/>
    </xf>
    <xf numFmtId="0" fontId="53" fillId="0" borderId="23" xfId="0" applyFont="1" applyBorder="1" applyAlignment="1">
      <alignment/>
    </xf>
    <xf numFmtId="188" fontId="45" fillId="0" borderId="9" xfId="0" applyNumberFormat="1" applyFont="1" applyBorder="1" applyAlignment="1" applyProtection="1">
      <alignment horizontal="right"/>
      <protection/>
    </xf>
    <xf numFmtId="188" fontId="33" fillId="0" borderId="20" xfId="0" applyNumberFormat="1" applyFont="1" applyBorder="1" applyAlignment="1" applyProtection="1">
      <alignment horizontal="right"/>
      <protection/>
    </xf>
    <xf numFmtId="0" fontId="45" fillId="0" borderId="12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/>
      <protection/>
    </xf>
    <xf numFmtId="1" fontId="19" fillId="0" borderId="1" xfId="0" applyNumberFormat="1" applyFont="1" applyBorder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0" fillId="0" borderId="0" xfId="0" applyFont="1" applyFill="1" applyBorder="1" applyAlignment="1" applyProtection="1">
      <alignment/>
      <protection/>
    </xf>
    <xf numFmtId="2" fontId="40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87" fillId="0" borderId="0" xfId="0" applyFont="1" applyFill="1" applyBorder="1" applyAlignment="1" applyProtection="1">
      <alignment/>
      <protection locked="0"/>
    </xf>
    <xf numFmtId="189" fontId="43" fillId="0" borderId="0" xfId="0" applyNumberFormat="1" applyFont="1" applyBorder="1" applyAlignment="1">
      <alignment/>
    </xf>
    <xf numFmtId="189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3" fillId="0" borderId="13" xfId="0" applyFont="1" applyFill="1" applyBorder="1" applyAlignment="1">
      <alignment horizontal="left"/>
    </xf>
    <xf numFmtId="189" fontId="110" fillId="0" borderId="22" xfId="0" applyNumberFormat="1" applyFont="1" applyFill="1" applyBorder="1" applyAlignment="1">
      <alignment horizontal="right"/>
    </xf>
    <xf numFmtId="0" fontId="111" fillId="0" borderId="22" xfId="0" applyFont="1" applyBorder="1" applyAlignment="1">
      <alignment horizontal="center"/>
    </xf>
    <xf numFmtId="0" fontId="42" fillId="0" borderId="30" xfId="0" applyFont="1" applyBorder="1" applyAlignment="1" applyProtection="1">
      <alignment/>
      <protection locked="0"/>
    </xf>
    <xf numFmtId="0" fontId="40" fillId="0" borderId="31" xfId="0" applyFont="1" applyBorder="1" applyAlignment="1">
      <alignment/>
    </xf>
    <xf numFmtId="0" fontId="110" fillId="0" borderId="22" xfId="0" applyFont="1" applyFill="1" applyBorder="1" applyAlignment="1">
      <alignment horizontal="center"/>
    </xf>
    <xf numFmtId="0" fontId="42" fillId="0" borderId="30" xfId="0" applyFont="1" applyBorder="1" applyAlignment="1">
      <alignment/>
    </xf>
    <xf numFmtId="2" fontId="40" fillId="0" borderId="10" xfId="0" applyNumberFormat="1" applyFont="1" applyBorder="1" applyAlignment="1">
      <alignment/>
    </xf>
    <xf numFmtId="2" fontId="40" fillId="0" borderId="23" xfId="0" applyNumberFormat="1" applyFont="1" applyBorder="1" applyAlignment="1">
      <alignment/>
    </xf>
    <xf numFmtId="0" fontId="53" fillId="0" borderId="0" xfId="0" applyFont="1" applyBorder="1" applyAlignment="1">
      <alignment/>
    </xf>
    <xf numFmtId="188" fontId="48" fillId="0" borderId="0" xfId="0" applyNumberFormat="1" applyFont="1" applyBorder="1" applyAlignment="1" applyProtection="1">
      <alignment horizontal="right"/>
      <protection/>
    </xf>
    <xf numFmtId="189" fontId="48" fillId="0" borderId="0" xfId="0" applyNumberFormat="1" applyFont="1" applyBorder="1" applyAlignment="1" applyProtection="1">
      <alignment horizontal="right"/>
      <protection/>
    </xf>
    <xf numFmtId="4" fontId="48" fillId="0" borderId="0" xfId="0" applyNumberFormat="1" applyFont="1" applyBorder="1" applyAlignment="1" applyProtection="1">
      <alignment/>
      <protection/>
    </xf>
    <xf numFmtId="189" fontId="40" fillId="0" borderId="0" xfId="0" applyNumberFormat="1" applyFont="1" applyAlignment="1">
      <alignment horizontal="center"/>
    </xf>
    <xf numFmtId="189" fontId="40" fillId="0" borderId="19" xfId="0" applyNumberFormat="1" applyFont="1" applyBorder="1" applyAlignment="1">
      <alignment/>
    </xf>
    <xf numFmtId="189" fontId="40" fillId="0" borderId="30" xfId="0" applyNumberFormat="1" applyFont="1" applyBorder="1" applyAlignment="1">
      <alignment/>
    </xf>
    <xf numFmtId="0" fontId="40" fillId="0" borderId="30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189" fontId="110" fillId="0" borderId="19" xfId="0" applyNumberFormat="1" applyFont="1" applyFill="1" applyBorder="1" applyAlignment="1">
      <alignment horizontal="right"/>
    </xf>
    <xf numFmtId="189" fontId="110" fillId="0" borderId="30" xfId="0" applyNumberFormat="1" applyFont="1" applyFill="1" applyBorder="1" applyAlignment="1">
      <alignment horizontal="right"/>
    </xf>
    <xf numFmtId="189" fontId="110" fillId="0" borderId="31" xfId="0" applyNumberFormat="1" applyFont="1" applyFill="1" applyBorder="1" applyAlignment="1">
      <alignment horizontal="right"/>
    </xf>
    <xf numFmtId="2" fontId="43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48" fillId="0" borderId="0" xfId="0" applyFont="1" applyBorder="1" applyAlignment="1" applyProtection="1">
      <alignment horizontal="center"/>
      <protection/>
    </xf>
    <xf numFmtId="189" fontId="40" fillId="0" borderId="0" xfId="0" applyNumberFormat="1" applyFont="1" applyFill="1" applyBorder="1" applyAlignment="1" applyProtection="1">
      <alignment horizontal="right"/>
      <protection/>
    </xf>
    <xf numFmtId="188" fontId="43" fillId="0" borderId="0" xfId="0" applyNumberFormat="1" applyFont="1" applyAlignment="1" applyProtection="1">
      <alignment horizontal="right"/>
      <protection/>
    </xf>
    <xf numFmtId="188" fontId="97" fillId="0" borderId="0" xfId="0" applyNumberFormat="1" applyFont="1" applyBorder="1" applyAlignment="1" applyProtection="1">
      <alignment/>
      <protection/>
    </xf>
    <xf numFmtId="0" fontId="100" fillId="0" borderId="0" xfId="0" applyFont="1" applyFill="1" applyBorder="1" applyAlignment="1" applyProtection="1">
      <alignment/>
      <protection/>
    </xf>
    <xf numFmtId="0" fontId="101" fillId="0" borderId="0" xfId="0" applyFont="1" applyFill="1" applyBorder="1" applyAlignment="1" applyProtection="1" quotePrefix="1">
      <alignment horizontal="left"/>
      <protection/>
    </xf>
    <xf numFmtId="188" fontId="43" fillId="0" borderId="0" xfId="0" applyNumberFormat="1" applyFont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192" fontId="46" fillId="0" borderId="0" xfId="0" applyNumberFormat="1" applyFont="1" applyAlignment="1" applyProtection="1">
      <alignment/>
      <protection/>
    </xf>
    <xf numFmtId="192" fontId="50" fillId="0" borderId="0" xfId="0" applyNumberFormat="1" applyFont="1" applyAlignment="1" applyProtection="1">
      <alignment/>
      <protection/>
    </xf>
    <xf numFmtId="192" fontId="46" fillId="0" borderId="0" xfId="0" applyNumberFormat="1" applyFont="1" applyAlignment="1" applyProtection="1">
      <alignment horizontal="right"/>
      <protection/>
    </xf>
    <xf numFmtId="188" fontId="70" fillId="0" borderId="1" xfId="0" applyNumberFormat="1" applyFont="1" applyFill="1" applyBorder="1" applyAlignment="1" applyProtection="1">
      <alignment horizontal="left"/>
      <protection/>
    </xf>
    <xf numFmtId="188" fontId="45" fillId="0" borderId="7" xfId="0" applyNumberFormat="1" applyFont="1" applyBorder="1" applyAlignment="1">
      <alignment/>
    </xf>
    <xf numFmtId="188" fontId="45" fillId="0" borderId="6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40" fillId="0" borderId="0" xfId="0" applyNumberFormat="1" applyFont="1" applyBorder="1" applyAlignment="1">
      <alignment horizontal="right"/>
    </xf>
    <xf numFmtId="188" fontId="40" fillId="0" borderId="18" xfId="0" applyNumberFormat="1" applyFont="1" applyBorder="1" applyAlignment="1">
      <alignment/>
    </xf>
    <xf numFmtId="188" fontId="40" fillId="0" borderId="14" xfId="0" applyNumberFormat="1" applyFont="1" applyBorder="1" applyAlignment="1">
      <alignment/>
    </xf>
    <xf numFmtId="188" fontId="0" fillId="0" borderId="5" xfId="0" applyNumberFormat="1" applyBorder="1" applyAlignment="1">
      <alignment/>
    </xf>
    <xf numFmtId="2" fontId="44" fillId="0" borderId="0" xfId="0" applyNumberFormat="1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0" fontId="116" fillId="0" borderId="1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37" xfId="0" applyFont="1" applyBorder="1" applyAlignment="1">
      <alignment/>
    </xf>
    <xf numFmtId="0" fontId="64" fillId="0" borderId="22" xfId="0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4" fillId="0" borderId="22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25" xfId="0" applyFont="1" applyBorder="1" applyAlignment="1">
      <alignment/>
    </xf>
    <xf numFmtId="0" fontId="43" fillId="0" borderId="0" xfId="0" applyFont="1" applyBorder="1" applyAlignment="1">
      <alignment/>
    </xf>
    <xf numFmtId="189" fontId="40" fillId="0" borderId="1" xfId="0" applyNumberFormat="1" applyFont="1" applyBorder="1" applyAlignment="1">
      <alignment/>
    </xf>
    <xf numFmtId="18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9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4" fontId="40" fillId="0" borderId="0" xfId="0" applyNumberFormat="1" applyFont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88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189" fontId="40" fillId="0" borderId="0" xfId="0" applyNumberFormat="1" applyFont="1" applyAlignment="1" applyProtection="1">
      <alignment horizontal="centerContinuous"/>
      <protection/>
    </xf>
    <xf numFmtId="0" fontId="40" fillId="0" borderId="0" xfId="0" applyFont="1" applyAlignment="1" applyProtection="1">
      <alignment horizontal="centerContinuous"/>
      <protection/>
    </xf>
    <xf numFmtId="188" fontId="43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189" fontId="4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left"/>
      <protection/>
    </xf>
    <xf numFmtId="188" fontId="45" fillId="0" borderId="0" xfId="0" applyNumberFormat="1" applyFont="1" applyAlignment="1" applyProtection="1">
      <alignment horizontal="right"/>
      <protection/>
    </xf>
    <xf numFmtId="1" fontId="70" fillId="0" borderId="0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 horizontal="left"/>
      <protection/>
    </xf>
    <xf numFmtId="188" fontId="110" fillId="0" borderId="22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/>
      <protection/>
    </xf>
    <xf numFmtId="49" fontId="43" fillId="0" borderId="0" xfId="0" applyNumberFormat="1" applyFont="1" applyAlignment="1" applyProtection="1">
      <alignment horizontal="right"/>
      <protection/>
    </xf>
    <xf numFmtId="0" fontId="4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188" fontId="42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Alignment="1" applyProtection="1">
      <alignment horizontal="center"/>
      <protection/>
    </xf>
    <xf numFmtId="188" fontId="45" fillId="0" borderId="0" xfId="0" applyNumberFormat="1" applyFont="1" applyAlignment="1" applyProtection="1">
      <alignment/>
      <protection/>
    </xf>
    <xf numFmtId="2" fontId="45" fillId="0" borderId="0" xfId="0" applyNumberFormat="1" applyFont="1" applyAlignment="1" applyProtection="1">
      <alignment horizontal="right"/>
      <protection/>
    </xf>
    <xf numFmtId="2" fontId="45" fillId="0" borderId="0" xfId="0" applyNumberFormat="1" applyFont="1" applyAlignment="1" applyProtection="1">
      <alignment/>
      <protection/>
    </xf>
    <xf numFmtId="188" fontId="48" fillId="0" borderId="0" xfId="0" applyNumberFormat="1" applyFont="1" applyBorder="1" applyAlignment="1" applyProtection="1">
      <alignment horizontal="center"/>
      <protection/>
    </xf>
    <xf numFmtId="188" fontId="45" fillId="0" borderId="24" xfId="0" applyNumberFormat="1" applyFont="1" applyBorder="1" applyAlignment="1" applyProtection="1">
      <alignment horizontal="right"/>
      <protection/>
    </xf>
    <xf numFmtId="2" fontId="40" fillId="0" borderId="24" xfId="0" applyNumberFormat="1" applyFont="1" applyBorder="1" applyAlignment="1">
      <alignment/>
    </xf>
    <xf numFmtId="189" fontId="45" fillId="0" borderId="30" xfId="0" applyNumberFormat="1" applyFont="1" applyBorder="1" applyAlignment="1">
      <alignment/>
    </xf>
    <xf numFmtId="189" fontId="45" fillId="0" borderId="19" xfId="0" applyNumberFormat="1" applyFont="1" applyBorder="1" applyAlignment="1">
      <alignment/>
    </xf>
    <xf numFmtId="189" fontId="0" fillId="0" borderId="31" xfId="0" applyNumberFormat="1" applyBorder="1" applyAlignment="1">
      <alignment/>
    </xf>
    <xf numFmtId="0" fontId="40" fillId="0" borderId="19" xfId="0" applyFont="1" applyBorder="1" applyAlignment="1">
      <alignment/>
    </xf>
    <xf numFmtId="189" fontId="48" fillId="0" borderId="31" xfId="0" applyNumberFormat="1" applyFont="1" applyBorder="1" applyAlignment="1">
      <alignment/>
    </xf>
    <xf numFmtId="0" fontId="48" fillId="0" borderId="31" xfId="0" applyFont="1" applyFill="1" applyBorder="1" applyAlignment="1">
      <alignment/>
    </xf>
    <xf numFmtId="189" fontId="42" fillId="0" borderId="30" xfId="0" applyNumberFormat="1" applyFont="1" applyBorder="1" applyAlignment="1" applyProtection="1">
      <alignment/>
      <protection locked="0"/>
    </xf>
    <xf numFmtId="189" fontId="42" fillId="0" borderId="30" xfId="0" applyNumberFormat="1" applyFont="1" applyBorder="1" applyAlignment="1">
      <alignment/>
    </xf>
    <xf numFmtId="189" fontId="43" fillId="0" borderId="31" xfId="0" applyNumberFormat="1" applyFont="1" applyBorder="1" applyAlignment="1">
      <alignment/>
    </xf>
    <xf numFmtId="188" fontId="45" fillId="0" borderId="1" xfId="0" applyNumberFormat="1" applyFont="1" applyBorder="1" applyAlignment="1" applyProtection="1">
      <alignment/>
      <protection/>
    </xf>
    <xf numFmtId="188" fontId="45" fillId="0" borderId="1" xfId="0" applyNumberFormat="1" applyFont="1" applyBorder="1" applyAlignment="1" applyProtection="1">
      <alignment horizontal="right"/>
      <protection/>
    </xf>
    <xf numFmtId="189" fontId="45" fillId="0" borderId="1" xfId="0" applyNumberFormat="1" applyFont="1" applyBorder="1" applyAlignment="1" applyProtection="1">
      <alignment horizontal="right"/>
      <protection/>
    </xf>
    <xf numFmtId="188" fontId="70" fillId="0" borderId="1" xfId="0" applyNumberFormat="1" applyFont="1" applyFill="1" applyBorder="1" applyAlignment="1" applyProtection="1">
      <alignment horizontal="right"/>
      <protection/>
    </xf>
    <xf numFmtId="189" fontId="70" fillId="0" borderId="1" xfId="0" applyNumberFormat="1" applyFont="1" applyFill="1" applyBorder="1" applyAlignment="1" applyProtection="1">
      <alignment horizontal="right"/>
      <protection/>
    </xf>
    <xf numFmtId="189" fontId="70" fillId="0" borderId="1" xfId="0" applyNumberFormat="1" applyFont="1" applyBorder="1" applyAlignment="1" applyProtection="1">
      <alignment horizontal="right"/>
      <protection/>
    </xf>
    <xf numFmtId="1" fontId="32" fillId="0" borderId="38" xfId="0" applyNumberFormat="1" applyFont="1" applyFill="1" applyBorder="1" applyAlignment="1" applyProtection="1">
      <alignment horizontal="center"/>
      <protection/>
    </xf>
    <xf numFmtId="0" fontId="70" fillId="0" borderId="39" xfId="0" applyFont="1" applyFill="1" applyBorder="1" applyAlignment="1" applyProtection="1">
      <alignment horizontal="center"/>
      <protection locked="0"/>
    </xf>
    <xf numFmtId="0" fontId="40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8" fontId="45" fillId="0" borderId="38" xfId="0" applyNumberFormat="1" applyFont="1" applyBorder="1" applyAlignment="1" applyProtection="1">
      <alignment horizontal="center"/>
      <protection/>
    </xf>
    <xf numFmtId="0" fontId="46" fillId="0" borderId="38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2" fontId="40" fillId="0" borderId="39" xfId="0" applyNumberFormat="1" applyFont="1" applyBorder="1" applyAlignment="1">
      <alignment horizontal="center"/>
    </xf>
    <xf numFmtId="2" fontId="40" fillId="0" borderId="41" xfId="0" applyNumberFormat="1" applyFont="1" applyBorder="1" applyAlignment="1">
      <alignment horizontal="center"/>
    </xf>
    <xf numFmtId="0" fontId="97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>
      <alignment/>
    </xf>
    <xf numFmtId="188" fontId="43" fillId="0" borderId="22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40" fillId="0" borderId="0" xfId="0" applyNumberFormat="1" applyFont="1" applyAlignment="1" applyProtection="1">
      <alignment horizontal="left"/>
      <protection/>
    </xf>
    <xf numFmtId="0" fontId="45" fillId="0" borderId="0" xfId="0" applyFont="1" applyAlignment="1" applyProtection="1">
      <alignment horizontal="right"/>
      <protection locked="0"/>
    </xf>
    <xf numFmtId="0" fontId="45" fillId="0" borderId="0" xfId="0" applyFont="1" applyFill="1" applyBorder="1" applyAlignment="1" applyProtection="1">
      <alignment/>
      <protection locked="0"/>
    </xf>
    <xf numFmtId="189" fontId="97" fillId="0" borderId="0" xfId="0" applyNumberFormat="1" applyFont="1" applyBorder="1" applyAlignment="1" applyProtection="1">
      <alignment/>
      <protection locked="0"/>
    </xf>
    <xf numFmtId="188" fontId="70" fillId="0" borderId="0" xfId="0" applyNumberFormat="1" applyFont="1" applyFill="1" applyBorder="1" applyAlignment="1" applyProtection="1">
      <alignment/>
      <protection locked="0"/>
    </xf>
    <xf numFmtId="189" fontId="70" fillId="0" borderId="0" xfId="0" applyNumberFormat="1" applyFont="1" applyFill="1" applyBorder="1" applyAlignment="1" applyProtection="1">
      <alignment horizontal="right"/>
      <protection locked="0"/>
    </xf>
    <xf numFmtId="0" fontId="114" fillId="0" borderId="0" xfId="0" applyFont="1" applyFill="1" applyBorder="1" applyAlignment="1" applyProtection="1">
      <alignment/>
      <protection locked="0"/>
    </xf>
    <xf numFmtId="190" fontId="70" fillId="0" borderId="0" xfId="0" applyNumberFormat="1" applyFont="1" applyFill="1" applyBorder="1" applyAlignment="1" applyProtection="1">
      <alignment/>
      <protection locked="0"/>
    </xf>
    <xf numFmtId="188" fontId="70" fillId="0" borderId="0" xfId="0" applyNumberFormat="1" applyFont="1" applyFill="1" applyBorder="1" applyAlignment="1" applyProtection="1">
      <alignment horizontal="right"/>
      <protection locked="0"/>
    </xf>
    <xf numFmtId="188" fontId="115" fillId="0" borderId="0" xfId="0" applyNumberFormat="1" applyFont="1" applyFill="1" applyBorder="1" applyAlignment="1" applyProtection="1">
      <alignment/>
      <protection locked="0"/>
    </xf>
    <xf numFmtId="189" fontId="70" fillId="0" borderId="0" xfId="0" applyNumberFormat="1" applyFont="1" applyFill="1" applyBorder="1" applyAlignment="1" applyProtection="1">
      <alignment/>
      <protection locked="0"/>
    </xf>
    <xf numFmtId="189" fontId="40" fillId="0" borderId="2" xfId="0" applyNumberFormat="1" applyFont="1" applyBorder="1" applyAlignment="1">
      <alignment horizontal="right"/>
    </xf>
    <xf numFmtId="189" fontId="40" fillId="0" borderId="3" xfId="0" applyNumberFormat="1" applyFont="1" applyBorder="1" applyAlignment="1">
      <alignment horizontal="right"/>
    </xf>
    <xf numFmtId="189" fontId="40" fillId="0" borderId="3" xfId="0" applyNumberFormat="1" applyFont="1" applyBorder="1" applyAlignment="1">
      <alignment/>
    </xf>
    <xf numFmtId="0" fontId="7" fillId="0" borderId="0" xfId="0" applyFont="1" applyBorder="1" applyAlignment="1" applyProtection="1" quotePrefix="1">
      <alignment horizontal="center"/>
      <protection/>
    </xf>
    <xf numFmtId="2" fontId="40" fillId="0" borderId="1" xfId="0" applyNumberFormat="1" applyFont="1" applyBorder="1" applyAlignment="1">
      <alignment/>
    </xf>
    <xf numFmtId="0" fontId="64" fillId="0" borderId="1" xfId="0" applyFont="1" applyBorder="1" applyAlignment="1" applyProtection="1">
      <alignment/>
      <protection locked="0"/>
    </xf>
    <xf numFmtId="189" fontId="40" fillId="0" borderId="0" xfId="0" applyNumberFormat="1" applyFont="1" applyBorder="1" applyAlignment="1">
      <alignment horizontal="center"/>
    </xf>
    <xf numFmtId="189" fontId="70" fillId="0" borderId="1" xfId="0" applyNumberFormat="1" applyFont="1" applyFill="1" applyBorder="1" applyAlignment="1" applyProtection="1">
      <alignment/>
      <protection/>
    </xf>
    <xf numFmtId="189" fontId="70" fillId="0" borderId="1" xfId="0" applyNumberFormat="1" applyFont="1" applyBorder="1" applyAlignment="1" applyProtection="1" quotePrefix="1">
      <alignment horizontal="right"/>
      <protection/>
    </xf>
    <xf numFmtId="0" fontId="40" fillId="0" borderId="1" xfId="0" applyFont="1" applyFill="1" applyBorder="1" applyAlignment="1">
      <alignment/>
    </xf>
    <xf numFmtId="0" fontId="45" fillId="0" borderId="1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199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2" fontId="48" fillId="0" borderId="0" xfId="0" applyNumberFormat="1" applyFont="1" applyBorder="1" applyAlignment="1" applyProtection="1">
      <alignment/>
      <protection/>
    </xf>
    <xf numFmtId="188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88" fontId="45" fillId="0" borderId="0" xfId="0" applyNumberFormat="1" applyFont="1" applyBorder="1" applyAlignment="1">
      <alignment/>
    </xf>
    <xf numFmtId="0" fontId="45" fillId="0" borderId="0" xfId="0" applyFont="1" applyAlignment="1">
      <alignment horizontal="right"/>
    </xf>
    <xf numFmtId="18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0" fillId="0" borderId="1" xfId="0" applyFont="1" applyBorder="1" applyAlignment="1" applyProtection="1">
      <alignment/>
      <protection/>
    </xf>
    <xf numFmtId="1" fontId="42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8" fontId="40" fillId="0" borderId="0" xfId="0" applyNumberFormat="1" applyFont="1" applyFill="1" applyBorder="1" applyAlignment="1" applyProtection="1">
      <alignment horizontal="left"/>
      <protection/>
    </xf>
    <xf numFmtId="0" fontId="4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88" fontId="40" fillId="0" borderId="0" xfId="0" applyNumberFormat="1" applyFont="1" applyAlignment="1" applyProtection="1">
      <alignment horizontal="left"/>
      <protection/>
    </xf>
    <xf numFmtId="0" fontId="40" fillId="0" borderId="1" xfId="0" applyFont="1" applyFill="1" applyBorder="1" applyAlignment="1" applyProtection="1">
      <alignment/>
      <protection locked="0"/>
    </xf>
    <xf numFmtId="2" fontId="40" fillId="0" borderId="0" xfId="0" applyNumberFormat="1" applyFont="1" applyBorder="1" applyAlignment="1" applyProtection="1">
      <alignment horizontal="right"/>
      <protection/>
    </xf>
    <xf numFmtId="189" fontId="4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0" fillId="0" borderId="0" xfId="0" applyNumberFormat="1" applyFont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 locked="0"/>
    </xf>
    <xf numFmtId="188" fontId="40" fillId="0" borderId="0" xfId="0" applyNumberFormat="1" applyFont="1" applyAlignment="1" applyProtection="1">
      <alignment horizontal="right"/>
      <protection/>
    </xf>
    <xf numFmtId="188" fontId="43" fillId="0" borderId="0" xfId="0" applyNumberFormat="1" applyFont="1" applyAlignment="1" applyProtection="1" quotePrefix="1">
      <alignment horizontal="right"/>
      <protection/>
    </xf>
    <xf numFmtId="189" fontId="42" fillId="0" borderId="0" xfId="0" applyNumberFormat="1" applyFont="1" applyAlignment="1" applyProtection="1">
      <alignment/>
      <protection/>
    </xf>
    <xf numFmtId="188" fontId="42" fillId="0" borderId="0" xfId="0" applyNumberFormat="1" applyFont="1" applyAlignment="1" applyProtection="1">
      <alignment horizontal="center"/>
      <protection/>
    </xf>
    <xf numFmtId="189" fontId="42" fillId="0" borderId="0" xfId="0" applyNumberFormat="1" applyFont="1" applyAlignment="1" applyProtection="1">
      <alignment horizontal="right"/>
      <protection/>
    </xf>
    <xf numFmtId="199" fontId="42" fillId="0" borderId="0" xfId="0" applyNumberFormat="1" applyFont="1" applyAlignment="1" applyProtection="1">
      <alignment/>
      <protection/>
    </xf>
    <xf numFmtId="188" fontId="42" fillId="0" borderId="0" xfId="0" applyNumberFormat="1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110" fillId="0" borderId="0" xfId="0" applyFont="1" applyFill="1" applyBorder="1" applyAlignment="1" applyProtection="1">
      <alignment horizontal="left"/>
      <protection locked="0"/>
    </xf>
    <xf numFmtId="189" fontId="42" fillId="0" borderId="0" xfId="0" applyNumberFormat="1" applyFont="1" applyAlignment="1" applyProtection="1">
      <alignment/>
      <protection/>
    </xf>
    <xf numFmtId="2" fontId="43" fillId="0" borderId="22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/>
    </xf>
    <xf numFmtId="1" fontId="0" fillId="0" borderId="7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88" fontId="106" fillId="0" borderId="0" xfId="0" applyNumberFormat="1" applyFont="1" applyFill="1" applyAlignment="1" applyProtection="1">
      <alignment horizontal="right"/>
      <protection/>
    </xf>
    <xf numFmtId="0" fontId="106" fillId="0" borderId="0" xfId="0" applyFont="1" applyAlignment="1">
      <alignment/>
    </xf>
    <xf numFmtId="2" fontId="40" fillId="0" borderId="0" xfId="0" applyNumberFormat="1" applyFont="1" applyBorder="1" applyAlignment="1" applyProtection="1">
      <alignment/>
      <protection/>
    </xf>
    <xf numFmtId="1" fontId="45" fillId="0" borderId="0" xfId="0" applyNumberFormat="1" applyFont="1" applyAlignment="1" applyProtection="1">
      <alignment horizontal="left"/>
      <protection/>
    </xf>
    <xf numFmtId="1" fontId="45" fillId="0" borderId="0" xfId="0" applyNumberFormat="1" applyFont="1" applyAlignment="1" applyProtection="1">
      <alignment horizontal="right"/>
      <protection/>
    </xf>
    <xf numFmtId="2" fontId="46" fillId="0" borderId="1" xfId="0" applyNumberFormat="1" applyFont="1" applyBorder="1" applyAlignment="1" applyProtection="1">
      <alignment horizontal="right"/>
      <protection/>
    </xf>
    <xf numFmtId="2" fontId="46" fillId="0" borderId="1" xfId="0" applyNumberFormat="1" applyFont="1" applyBorder="1" applyAlignment="1" applyProtection="1">
      <alignment/>
      <protection/>
    </xf>
    <xf numFmtId="2" fontId="46" fillId="0" borderId="5" xfId="0" applyNumberFormat="1" applyFont="1" applyBorder="1" applyAlignment="1" applyProtection="1">
      <alignment/>
      <protection/>
    </xf>
    <xf numFmtId="2" fontId="46" fillId="0" borderId="1" xfId="0" applyNumberFormat="1" applyFont="1" applyBorder="1" applyAlignment="1" applyProtection="1">
      <alignment horizontal="center"/>
      <protection/>
    </xf>
    <xf numFmtId="2" fontId="46" fillId="0" borderId="5" xfId="0" applyNumberFormat="1" applyFont="1" applyBorder="1" applyAlignment="1" applyProtection="1">
      <alignment horizontal="center"/>
      <protection/>
    </xf>
    <xf numFmtId="2" fontId="46" fillId="0" borderId="5" xfId="0" applyNumberFormat="1" applyFont="1" applyBorder="1" applyAlignment="1" applyProtection="1">
      <alignment horizontal="right"/>
      <protection/>
    </xf>
    <xf numFmtId="0" fontId="40" fillId="0" borderId="0" xfId="0" applyFont="1" applyAlignment="1" applyProtection="1">
      <alignment/>
      <protection locked="0"/>
    </xf>
    <xf numFmtId="188" fontId="40" fillId="0" borderId="0" xfId="0" applyNumberFormat="1" applyFont="1" applyAlignment="1" applyProtection="1">
      <alignment/>
      <protection locked="0"/>
    </xf>
    <xf numFmtId="2" fontId="42" fillId="0" borderId="1" xfId="0" applyNumberFormat="1" applyFont="1" applyBorder="1" applyAlignment="1" applyProtection="1">
      <alignment/>
      <protection locked="0"/>
    </xf>
    <xf numFmtId="188" fontId="42" fillId="0" borderId="1" xfId="0" applyNumberFormat="1" applyFont="1" applyBorder="1" applyAlignment="1" applyProtection="1">
      <alignment/>
      <protection locked="0"/>
    </xf>
    <xf numFmtId="0" fontId="40" fillId="0" borderId="1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3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" fontId="70" fillId="0" borderId="42" xfId="0" applyNumberFormat="1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191" fontId="36" fillId="0" borderId="5" xfId="18" applyNumberFormat="1" applyFont="1" applyBorder="1" applyAlignment="1" applyProtection="1" quotePrefix="1">
      <alignment horizontal="center"/>
      <protection locked="0"/>
    </xf>
    <xf numFmtId="2" fontId="39" fillId="0" borderId="5" xfId="0" applyNumberFormat="1" applyFont="1" applyBorder="1" applyAlignment="1" applyProtection="1">
      <alignment/>
      <protection locked="0"/>
    </xf>
    <xf numFmtId="188" fontId="16" fillId="0" borderId="5" xfId="0" applyNumberFormat="1" applyFont="1" applyBorder="1" applyAlignment="1" applyProtection="1">
      <alignment/>
      <protection locked="0"/>
    </xf>
    <xf numFmtId="0" fontId="16" fillId="0" borderId="5" xfId="0" applyFont="1" applyBorder="1" applyAlignment="1" applyProtection="1">
      <alignment/>
      <protection locked="0"/>
    </xf>
    <xf numFmtId="0" fontId="43" fillId="0" borderId="28" xfId="0" applyFont="1" applyBorder="1" applyAlignment="1" applyProtection="1">
      <alignment/>
      <protection locked="0"/>
    </xf>
    <xf numFmtId="0" fontId="117" fillId="0" borderId="31" xfId="0" applyFont="1" applyBorder="1" applyAlignment="1" applyProtection="1">
      <alignment/>
      <protection locked="0"/>
    </xf>
    <xf numFmtId="2" fontId="36" fillId="0" borderId="28" xfId="0" applyNumberFormat="1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191" fontId="40" fillId="0" borderId="1" xfId="18" applyNumberFormat="1" applyFont="1" applyBorder="1" applyAlignment="1" applyProtection="1">
      <alignment horizontal="left"/>
      <protection locked="0"/>
    </xf>
    <xf numFmtId="188" fontId="41" fillId="0" borderId="1" xfId="18" applyNumberFormat="1" applyFont="1" applyBorder="1" applyAlignment="1" applyProtection="1">
      <alignment horizontal="right"/>
      <protection locked="0"/>
    </xf>
    <xf numFmtId="188" fontId="40" fillId="0" borderId="1" xfId="18" applyNumberFormat="1" applyFont="1" applyBorder="1" applyAlignment="1" applyProtection="1">
      <alignment horizontal="right"/>
      <protection locked="0"/>
    </xf>
    <xf numFmtId="0" fontId="40" fillId="0" borderId="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0" fillId="0" borderId="19" xfId="0" applyFont="1" applyFill="1" applyBorder="1" applyAlignment="1" applyProtection="1">
      <alignment/>
      <protection locked="0"/>
    </xf>
    <xf numFmtId="0" fontId="40" fillId="0" borderId="30" xfId="0" applyFont="1" applyFill="1" applyBorder="1" applyAlignment="1" applyProtection="1">
      <alignment/>
      <protection locked="0"/>
    </xf>
    <xf numFmtId="191" fontId="43" fillId="0" borderId="1" xfId="18" applyNumberFormat="1" applyFont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/>
      <protection locked="0"/>
    </xf>
    <xf numFmtId="0" fontId="40" fillId="0" borderId="1" xfId="0" applyFont="1" applyBorder="1" applyAlignment="1" applyProtection="1">
      <alignment/>
      <protection locked="0"/>
    </xf>
    <xf numFmtId="188" fontId="41" fillId="0" borderId="1" xfId="0" applyNumberFormat="1" applyFont="1" applyBorder="1" applyAlignment="1" applyProtection="1">
      <alignment/>
      <protection locked="0"/>
    </xf>
    <xf numFmtId="188" fontId="43" fillId="0" borderId="1" xfId="0" applyNumberFormat="1" applyFont="1" applyBorder="1" applyAlignment="1" applyProtection="1">
      <alignment horizontal="left"/>
      <protection locked="0"/>
    </xf>
    <xf numFmtId="0" fontId="40" fillId="0" borderId="43" xfId="0" applyFont="1" applyBorder="1" applyAlignment="1" applyProtection="1">
      <alignment/>
      <protection locked="0"/>
    </xf>
    <xf numFmtId="0" fontId="40" fillId="0" borderId="1" xfId="0" applyFont="1" applyBorder="1" applyAlignment="1" applyProtection="1">
      <alignment horizontal="right"/>
      <protection locked="0"/>
    </xf>
    <xf numFmtId="188" fontId="40" fillId="0" borderId="1" xfId="0" applyNumberFormat="1" applyFont="1" applyBorder="1" applyAlignment="1" applyProtection="1">
      <alignment horizontal="right"/>
      <protection locked="0"/>
    </xf>
    <xf numFmtId="0" fontId="40" fillId="0" borderId="1" xfId="0" applyFont="1" applyBorder="1" applyAlignment="1" applyProtection="1">
      <alignment horizontal="left"/>
      <protection locked="0"/>
    </xf>
    <xf numFmtId="2" fontId="40" fillId="0" borderId="1" xfId="0" applyNumberFormat="1" applyFont="1" applyBorder="1" applyAlignment="1" applyProtection="1">
      <alignment/>
      <protection locked="0"/>
    </xf>
    <xf numFmtId="0" fontId="43" fillId="0" borderId="1" xfId="0" applyFont="1" applyBorder="1" applyAlignment="1" applyProtection="1">
      <alignment/>
      <protection locked="0"/>
    </xf>
    <xf numFmtId="0" fontId="40" fillId="0" borderId="1" xfId="0" applyFont="1" applyBorder="1" applyAlignment="1" applyProtection="1">
      <alignment/>
      <protection locked="0"/>
    </xf>
    <xf numFmtId="188" fontId="19" fillId="0" borderId="0" xfId="0" applyNumberFormat="1" applyFont="1" applyAlignment="1" applyProtection="1">
      <alignment/>
      <protection locked="0"/>
    </xf>
    <xf numFmtId="0" fontId="45" fillId="0" borderId="0" xfId="0" applyFont="1" applyBorder="1" applyAlignment="1" applyProtection="1">
      <alignment horizontal="centerContinuous"/>
      <protection/>
    </xf>
    <xf numFmtId="0" fontId="40" fillId="2" borderId="1" xfId="0" applyFont="1" applyFill="1" applyBorder="1" applyAlignment="1">
      <alignment/>
    </xf>
    <xf numFmtId="188" fontId="40" fillId="0" borderId="0" xfId="0" applyNumberFormat="1" applyFont="1" applyAlignment="1" applyProtection="1" quotePrefix="1">
      <alignment horizontal="left"/>
      <protection/>
    </xf>
    <xf numFmtId="0" fontId="4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188" fontId="46" fillId="0" borderId="0" xfId="0" applyNumberFormat="1" applyFont="1" applyBorder="1" applyAlignment="1" applyProtection="1">
      <alignment/>
      <protection locked="0"/>
    </xf>
    <xf numFmtId="189" fontId="46" fillId="0" borderId="0" xfId="0" applyNumberFormat="1" applyFont="1" applyAlignment="1" applyProtection="1">
      <alignment/>
      <protection locked="0"/>
    </xf>
    <xf numFmtId="189" fontId="4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2" fontId="71" fillId="0" borderId="0" xfId="0" applyNumberFormat="1" applyFont="1" applyFill="1" applyBorder="1" applyAlignment="1" applyProtection="1">
      <alignment/>
      <protection locked="0"/>
    </xf>
    <xf numFmtId="188" fontId="97" fillId="0" borderId="0" xfId="0" applyNumberFormat="1" applyFont="1" applyBorder="1" applyAlignment="1" applyProtection="1">
      <alignment/>
      <protection locked="0"/>
    </xf>
    <xf numFmtId="188" fontId="98" fillId="0" borderId="0" xfId="0" applyNumberFormat="1" applyFont="1" applyBorder="1" applyAlignment="1" applyProtection="1">
      <alignment/>
      <protection locked="0"/>
    </xf>
    <xf numFmtId="188" fontId="97" fillId="0" borderId="0" xfId="0" applyNumberFormat="1" applyFont="1" applyBorder="1" applyAlignment="1" applyProtection="1">
      <alignment horizontal="right"/>
      <protection locked="0"/>
    </xf>
    <xf numFmtId="0" fontId="97" fillId="0" borderId="0" xfId="0" applyFont="1" applyBorder="1" applyAlignment="1" applyProtection="1">
      <alignment/>
      <protection locked="0"/>
    </xf>
    <xf numFmtId="0" fontId="100" fillId="0" borderId="0" xfId="0" applyFont="1" applyBorder="1" applyAlignment="1" applyProtection="1">
      <alignment/>
      <protection locked="0"/>
    </xf>
    <xf numFmtId="188" fontId="97" fillId="0" borderId="0" xfId="0" applyNumberFormat="1" applyFont="1" applyBorder="1" applyAlignment="1" applyProtection="1">
      <alignment/>
      <protection locked="0"/>
    </xf>
    <xf numFmtId="0" fontId="97" fillId="0" borderId="0" xfId="0" applyFont="1" applyBorder="1" applyAlignment="1" applyProtection="1">
      <alignment horizontal="right"/>
      <protection locked="0"/>
    </xf>
    <xf numFmtId="0" fontId="97" fillId="0" borderId="0" xfId="0" applyFont="1" applyBorder="1" applyAlignment="1" applyProtection="1">
      <alignment horizontal="right"/>
      <protection locked="0"/>
    </xf>
    <xf numFmtId="0" fontId="97" fillId="0" borderId="0" xfId="0" applyFont="1" applyBorder="1" applyAlignment="1" applyProtection="1">
      <alignment/>
      <protection locked="0"/>
    </xf>
    <xf numFmtId="188" fontId="100" fillId="0" borderId="0" xfId="0" applyNumberFormat="1" applyFont="1" applyBorder="1" applyAlignment="1" applyProtection="1">
      <alignment/>
      <protection locked="0"/>
    </xf>
    <xf numFmtId="0" fontId="100" fillId="0" borderId="0" xfId="0" applyFont="1" applyBorder="1" applyAlignment="1" applyProtection="1">
      <alignment horizontal="right"/>
      <protection locked="0"/>
    </xf>
    <xf numFmtId="189" fontId="100" fillId="0" borderId="0" xfId="0" applyNumberFormat="1" applyFont="1" applyBorder="1" applyAlignment="1" applyProtection="1">
      <alignment/>
      <protection locked="0"/>
    </xf>
    <xf numFmtId="2" fontId="48" fillId="0" borderId="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188" fontId="45" fillId="0" borderId="0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89" fontId="45" fillId="0" borderId="0" xfId="0" applyNumberFormat="1" applyFont="1" applyAlignment="1" applyProtection="1">
      <alignment/>
      <protection locked="0"/>
    </xf>
    <xf numFmtId="1" fontId="40" fillId="0" borderId="1" xfId="0" applyNumberFormat="1" applyFont="1" applyBorder="1" applyAlignment="1" applyProtection="1">
      <alignment horizontal="right"/>
      <protection locked="0"/>
    </xf>
    <xf numFmtId="189" fontId="40" fillId="0" borderId="1" xfId="0" applyNumberFormat="1" applyFont="1" applyBorder="1" applyAlignment="1" applyProtection="1">
      <alignment horizontal="right"/>
      <protection locked="0"/>
    </xf>
    <xf numFmtId="189" fontId="40" fillId="0" borderId="1" xfId="0" applyNumberFormat="1" applyFont="1" applyBorder="1" applyAlignment="1" applyProtection="1">
      <alignment/>
      <protection locked="0"/>
    </xf>
    <xf numFmtId="0" fontId="40" fillId="0" borderId="1" xfId="0" applyFont="1" applyBorder="1" applyAlignment="1" applyProtection="1">
      <alignment horizontal="center"/>
      <protection locked="0"/>
    </xf>
    <xf numFmtId="1" fontId="40" fillId="0" borderId="1" xfId="0" applyNumberFormat="1" applyFont="1" applyBorder="1" applyAlignment="1" applyProtection="1">
      <alignment horizontal="center"/>
      <protection locked="0"/>
    </xf>
    <xf numFmtId="1" fontId="40" fillId="0" borderId="1" xfId="0" applyNumberFormat="1" applyFont="1" applyBorder="1" applyAlignment="1" applyProtection="1">
      <alignment/>
      <protection locked="0"/>
    </xf>
    <xf numFmtId="189" fontId="0" fillId="0" borderId="1" xfId="0" applyNumberFormat="1" applyBorder="1" applyAlignment="1" applyProtection="1">
      <alignment/>
      <protection locked="0"/>
    </xf>
    <xf numFmtId="0" fontId="42" fillId="0" borderId="1" xfId="0" applyFont="1" applyBorder="1" applyAlignment="1" applyProtection="1">
      <alignment horizontal="right"/>
      <protection locked="0"/>
    </xf>
    <xf numFmtId="0" fontId="40" fillId="0" borderId="1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right"/>
      <protection locked="0"/>
    </xf>
    <xf numFmtId="189" fontId="40" fillId="0" borderId="1" xfId="0" applyNumberFormat="1" applyFont="1" applyBorder="1" applyAlignment="1" applyProtection="1">
      <alignment horizontal="right"/>
      <protection locked="0"/>
    </xf>
    <xf numFmtId="189" fontId="40" fillId="0" borderId="1" xfId="0" applyNumberFormat="1" applyFont="1" applyBorder="1" applyAlignment="1" applyProtection="1">
      <alignment/>
      <protection locked="0"/>
    </xf>
    <xf numFmtId="189" fontId="4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2" fontId="70" fillId="2" borderId="1" xfId="0" applyNumberFormat="1" applyFont="1" applyFill="1" applyBorder="1" applyAlignment="1" applyProtection="1">
      <alignment horizontal="center"/>
      <protection locked="0"/>
    </xf>
    <xf numFmtId="0" fontId="122" fillId="0" borderId="0" xfId="0" applyFont="1" applyBorder="1" applyAlignment="1" applyProtection="1">
      <alignment/>
      <protection/>
    </xf>
    <xf numFmtId="189" fontId="56" fillId="0" borderId="0" xfId="0" applyNumberFormat="1" applyFont="1" applyAlignment="1" applyProtection="1">
      <alignment/>
      <protection/>
    </xf>
    <xf numFmtId="3" fontId="71" fillId="0" borderId="22" xfId="0" applyNumberFormat="1" applyFont="1" applyBorder="1" applyAlignment="1" applyProtection="1">
      <alignment/>
      <protection/>
    </xf>
    <xf numFmtId="1" fontId="43" fillId="0" borderId="0" xfId="0" applyNumberFormat="1" applyFont="1" applyBorder="1" applyAlignment="1" applyProtection="1">
      <alignment/>
      <protection/>
    </xf>
    <xf numFmtId="3" fontId="43" fillId="0" borderId="0" xfId="0" applyNumberFormat="1" applyFont="1" applyBorder="1" applyAlignment="1" applyProtection="1">
      <alignment/>
      <protection/>
    </xf>
    <xf numFmtId="0" fontId="64" fillId="0" borderId="0" xfId="0" applyFont="1" applyAlignment="1">
      <alignment/>
    </xf>
    <xf numFmtId="2" fontId="64" fillId="0" borderId="9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188" fontId="64" fillId="0" borderId="0" xfId="0" applyNumberFormat="1" applyFont="1" applyBorder="1" applyAlignment="1">
      <alignment/>
    </xf>
    <xf numFmtId="192" fontId="64" fillId="0" borderId="9" xfId="0" applyNumberFormat="1" applyFont="1" applyBorder="1" applyAlignment="1">
      <alignment/>
    </xf>
    <xf numFmtId="192" fontId="64" fillId="0" borderId="0" xfId="0" applyNumberFormat="1" applyFont="1" applyBorder="1" applyAlignment="1">
      <alignment/>
    </xf>
    <xf numFmtId="192" fontId="64" fillId="0" borderId="10" xfId="0" applyNumberFormat="1" applyFont="1" applyBorder="1" applyAlignment="1">
      <alignment horizontal="right"/>
    </xf>
    <xf numFmtId="188" fontId="64" fillId="0" borderId="9" xfId="0" applyNumberFormat="1" applyFont="1" applyBorder="1" applyAlignment="1">
      <alignment/>
    </xf>
    <xf numFmtId="192" fontId="64" fillId="0" borderId="10" xfId="0" applyNumberFormat="1" applyFont="1" applyBorder="1" applyAlignment="1">
      <alignment/>
    </xf>
    <xf numFmtId="2" fontId="64" fillId="0" borderId="20" xfId="0" applyNumberFormat="1" applyFont="1" applyBorder="1" applyAlignment="1">
      <alignment/>
    </xf>
    <xf numFmtId="2" fontId="64" fillId="0" borderId="24" xfId="0" applyNumberFormat="1" applyFont="1" applyBorder="1" applyAlignment="1">
      <alignment/>
    </xf>
    <xf numFmtId="2" fontId="64" fillId="0" borderId="23" xfId="0" applyNumberFormat="1" applyFont="1" applyBorder="1" applyAlignment="1">
      <alignment/>
    </xf>
    <xf numFmtId="188" fontId="64" fillId="0" borderId="24" xfId="0" applyNumberFormat="1" applyFont="1" applyBorder="1" applyAlignment="1">
      <alignment/>
    </xf>
    <xf numFmtId="188" fontId="64" fillId="0" borderId="20" xfId="0" applyNumberFormat="1" applyFont="1" applyBorder="1" applyAlignment="1">
      <alignment/>
    </xf>
    <xf numFmtId="188" fontId="64" fillId="0" borderId="23" xfId="0" applyNumberFormat="1" applyFont="1" applyBorder="1" applyAlignment="1">
      <alignment horizontal="right"/>
    </xf>
    <xf numFmtId="192" fontId="64" fillId="0" borderId="23" xfId="0" applyNumberFormat="1" applyFont="1" applyBorder="1" applyAlignment="1">
      <alignment/>
    </xf>
    <xf numFmtId="0" fontId="64" fillId="0" borderId="10" xfId="0" applyFont="1" applyBorder="1" applyAlignment="1">
      <alignment/>
    </xf>
    <xf numFmtId="188" fontId="64" fillId="0" borderId="10" xfId="0" applyNumberFormat="1" applyFont="1" applyBorder="1" applyAlignment="1">
      <alignment/>
    </xf>
    <xf numFmtId="1" fontId="40" fillId="0" borderId="0" xfId="0" applyNumberFormat="1" applyFont="1" applyAlignment="1">
      <alignment horizontal="center"/>
    </xf>
    <xf numFmtId="0" fontId="40" fillId="0" borderId="43" xfId="0" applyFont="1" applyBorder="1" applyAlignment="1">
      <alignment/>
    </xf>
    <xf numFmtId="2" fontId="40" fillId="0" borderId="43" xfId="0" applyNumberFormat="1" applyFont="1" applyBorder="1" applyAlignment="1">
      <alignment/>
    </xf>
    <xf numFmtId="188" fontId="48" fillId="0" borderId="0" xfId="0" applyNumberFormat="1" applyFont="1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/>
    </xf>
    <xf numFmtId="189" fontId="48" fillId="0" borderId="22" xfId="0" applyNumberFormat="1" applyFont="1" applyBorder="1" applyAlignment="1" applyProtection="1">
      <alignment/>
      <protection/>
    </xf>
    <xf numFmtId="2" fontId="48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88" fontId="45" fillId="0" borderId="44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8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40" fillId="0" borderId="45" xfId="0" applyNumberFormat="1" applyFont="1" applyBorder="1" applyAlignment="1" applyProtection="1">
      <alignment horizontal="right"/>
      <protection locked="0"/>
    </xf>
    <xf numFmtId="0" fontId="64" fillId="0" borderId="0" xfId="0" applyFont="1" applyAlignment="1" applyProtection="1">
      <alignment/>
      <protection locked="0"/>
    </xf>
    <xf numFmtId="0" fontId="122" fillId="0" borderId="1" xfId="0" applyFont="1" applyBorder="1" applyAlignment="1" applyProtection="1">
      <alignment/>
      <protection locked="0"/>
    </xf>
    <xf numFmtId="191" fontId="64" fillId="0" borderId="1" xfId="18" applyNumberFormat="1" applyFont="1" applyBorder="1" applyAlignment="1" applyProtection="1">
      <alignment horizontal="right"/>
      <protection locked="0"/>
    </xf>
    <xf numFmtId="2" fontId="64" fillId="0" borderId="1" xfId="0" applyNumberFormat="1" applyFont="1" applyBorder="1" applyAlignment="1" applyProtection="1">
      <alignment/>
      <protection locked="0"/>
    </xf>
    <xf numFmtId="188" fontId="64" fillId="0" borderId="1" xfId="0" applyNumberFormat="1" applyFont="1" applyBorder="1" applyAlignment="1" applyProtection="1">
      <alignment/>
      <protection locked="0"/>
    </xf>
    <xf numFmtId="0" fontId="64" fillId="0" borderId="1" xfId="0" applyFont="1" applyBorder="1" applyAlignment="1" applyProtection="1">
      <alignment/>
      <protection locked="0"/>
    </xf>
    <xf numFmtId="0" fontId="64" fillId="0" borderId="3" xfId="0" applyFont="1" applyBorder="1" applyAlignment="1" applyProtection="1">
      <alignment/>
      <protection locked="0"/>
    </xf>
    <xf numFmtId="0" fontId="87" fillId="0" borderId="10" xfId="0" applyFont="1" applyBorder="1" applyAlignment="1" applyProtection="1">
      <alignment/>
      <protection locked="0"/>
    </xf>
    <xf numFmtId="0" fontId="64" fillId="0" borderId="30" xfId="0" applyFont="1" applyFill="1" applyBorder="1" applyAlignment="1" applyProtection="1">
      <alignment/>
      <protection locked="0"/>
    </xf>
    <xf numFmtId="0" fontId="64" fillId="0" borderId="1" xfId="0" applyFont="1" applyBorder="1" applyAlignment="1" applyProtection="1">
      <alignment/>
      <protection locked="0"/>
    </xf>
    <xf numFmtId="0" fontId="64" fillId="0" borderId="4" xfId="0" applyFont="1" applyBorder="1" applyAlignment="1" applyProtection="1">
      <alignment/>
      <protection locked="0"/>
    </xf>
    <xf numFmtId="0" fontId="87" fillId="0" borderId="23" xfId="0" applyFont="1" applyBorder="1" applyAlignment="1" applyProtection="1">
      <alignment/>
      <protection locked="0"/>
    </xf>
    <xf numFmtId="0" fontId="64" fillId="0" borderId="31" xfId="0" applyFont="1" applyFill="1" applyBorder="1" applyAlignment="1" applyProtection="1">
      <alignment/>
      <protection locked="0"/>
    </xf>
    <xf numFmtId="188" fontId="64" fillId="0" borderId="0" xfId="0" applyNumberFormat="1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87" fillId="0" borderId="0" xfId="0" applyFont="1" applyAlignment="1">
      <alignment/>
    </xf>
    <xf numFmtId="188" fontId="64" fillId="0" borderId="0" xfId="0" applyNumberFormat="1" applyFont="1" applyFill="1" applyBorder="1" applyAlignment="1" applyProtection="1">
      <alignment/>
      <protection locked="0"/>
    </xf>
    <xf numFmtId="0" fontId="40" fillId="0" borderId="3" xfId="0" applyFont="1" applyBorder="1" applyAlignment="1" applyProtection="1">
      <alignment/>
      <protection locked="0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4" fillId="0" borderId="0" xfId="0" applyFont="1" applyAlignment="1" applyProtection="1">
      <alignment/>
      <protection locked="0"/>
    </xf>
    <xf numFmtId="0" fontId="124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189" fontId="127" fillId="0" borderId="0" xfId="0" applyNumberFormat="1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 applyProtection="1">
      <alignment/>
      <protection/>
    </xf>
    <xf numFmtId="0" fontId="130" fillId="0" borderId="0" xfId="0" applyFont="1" applyAlignment="1" applyProtection="1">
      <alignment/>
      <protection/>
    </xf>
    <xf numFmtId="0" fontId="129" fillId="0" borderId="0" xfId="0" applyFont="1" applyAlignment="1" applyProtection="1">
      <alignment/>
      <protection/>
    </xf>
    <xf numFmtId="0" fontId="13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8" fontId="40" fillId="0" borderId="20" xfId="0" applyNumberFormat="1" applyFont="1" applyBorder="1" applyAlignment="1" applyProtection="1">
      <alignment/>
      <protection/>
    </xf>
    <xf numFmtId="188" fontId="40" fillId="0" borderId="24" xfId="0" applyNumberFormat="1" applyFont="1" applyBorder="1" applyAlignment="1" applyProtection="1">
      <alignment horizontal="right"/>
      <protection/>
    </xf>
    <xf numFmtId="0" fontId="27" fillId="0" borderId="23" xfId="0" applyFont="1" applyBorder="1" applyAlignment="1" applyProtection="1">
      <alignment/>
      <protection/>
    </xf>
    <xf numFmtId="0" fontId="0" fillId="2" borderId="11" xfId="0" applyFill="1" applyBorder="1" applyAlignment="1">
      <alignment/>
    </xf>
    <xf numFmtId="0" fontId="27" fillId="2" borderId="11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12" fontId="4" fillId="2" borderId="11" xfId="0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0" fontId="134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35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30" fillId="4" borderId="0" xfId="0" applyFont="1" applyFill="1" applyAlignment="1">
      <alignment/>
    </xf>
    <xf numFmtId="0" fontId="40" fillId="4" borderId="4" xfId="0" applyFont="1" applyFill="1" applyBorder="1" applyAlignment="1">
      <alignment/>
    </xf>
    <xf numFmtId="0" fontId="30" fillId="4" borderId="22" xfId="0" applyFont="1" applyFill="1" applyBorder="1" applyAlignment="1">
      <alignment/>
    </xf>
    <xf numFmtId="0" fontId="30" fillId="4" borderId="12" xfId="0" applyFont="1" applyFill="1" applyBorder="1" applyAlignment="1">
      <alignment/>
    </xf>
    <xf numFmtId="0" fontId="129" fillId="0" borderId="0" xfId="0" applyFont="1" applyAlignment="1" applyProtection="1">
      <alignment/>
      <protection/>
    </xf>
    <xf numFmtId="0" fontId="136" fillId="0" borderId="0" xfId="0" applyFont="1" applyAlignment="1" applyProtection="1">
      <alignment/>
      <protection/>
    </xf>
    <xf numFmtId="188" fontId="44" fillId="0" borderId="0" xfId="0" applyNumberFormat="1" applyFont="1" applyAlignment="1" applyProtection="1">
      <alignment/>
      <protection/>
    </xf>
    <xf numFmtId="0" fontId="53" fillId="0" borderId="0" xfId="0" applyFont="1" applyAlignment="1">
      <alignment/>
    </xf>
    <xf numFmtId="0" fontId="139" fillId="0" borderId="0" xfId="0" applyFont="1" applyAlignment="1" applyProtection="1">
      <alignment/>
      <protection/>
    </xf>
    <xf numFmtId="0" fontId="140" fillId="0" borderId="0" xfId="0" applyFont="1" applyBorder="1" applyAlignment="1" applyProtection="1">
      <alignment horizontal="right"/>
      <protection/>
    </xf>
    <xf numFmtId="2" fontId="140" fillId="0" borderId="0" xfId="0" applyNumberFormat="1" applyFont="1" applyBorder="1" applyAlignment="1" applyProtection="1">
      <alignment horizontal="center"/>
      <protection/>
    </xf>
    <xf numFmtId="0" fontId="140" fillId="0" borderId="0" xfId="0" applyFont="1" applyBorder="1" applyAlignment="1" applyProtection="1">
      <alignment/>
      <protection/>
    </xf>
    <xf numFmtId="2" fontId="140" fillId="0" borderId="0" xfId="0" applyNumberFormat="1" applyFont="1" applyBorder="1" applyAlignment="1" applyProtection="1">
      <alignment/>
      <protection/>
    </xf>
    <xf numFmtId="188" fontId="14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4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44" fillId="0" borderId="0" xfId="0" applyFont="1" applyAlignment="1" applyProtection="1" quotePrefix="1">
      <alignment horizontal="left"/>
      <protection/>
    </xf>
    <xf numFmtId="0" fontId="145" fillId="0" borderId="0" xfId="0" applyFont="1" applyAlignment="1" applyProtection="1">
      <alignment/>
      <protection/>
    </xf>
    <xf numFmtId="0" fontId="146" fillId="0" borderId="0" xfId="0" applyFont="1" applyAlignment="1" applyProtection="1">
      <alignment/>
      <protection/>
    </xf>
    <xf numFmtId="0" fontId="147" fillId="0" borderId="0" xfId="0" applyFont="1" applyAlignment="1" applyProtection="1">
      <alignment/>
      <protection/>
    </xf>
    <xf numFmtId="1" fontId="147" fillId="0" borderId="31" xfId="0" applyNumberFormat="1" applyFont="1" applyBorder="1" applyAlignment="1" applyProtection="1">
      <alignment/>
      <protection/>
    </xf>
    <xf numFmtId="0" fontId="148" fillId="2" borderId="22" xfId="0" applyFont="1" applyFill="1" applyBorder="1" applyAlignment="1" applyProtection="1">
      <alignment/>
      <protection/>
    </xf>
    <xf numFmtId="0" fontId="147" fillId="0" borderId="0" xfId="0" applyFont="1" applyAlignment="1">
      <alignment/>
    </xf>
    <xf numFmtId="188" fontId="141" fillId="0" borderId="0" xfId="0" applyNumberFormat="1" applyFont="1" applyAlignment="1" applyProtection="1">
      <alignment/>
      <protection/>
    </xf>
    <xf numFmtId="0" fontId="140" fillId="0" borderId="0" xfId="0" applyFont="1" applyAlignment="1" applyProtection="1">
      <alignment/>
      <protection/>
    </xf>
    <xf numFmtId="0" fontId="149" fillId="0" borderId="0" xfId="0" applyFont="1" applyBorder="1" applyAlignment="1" applyProtection="1">
      <alignment/>
      <protection/>
    </xf>
    <xf numFmtId="0" fontId="146" fillId="0" borderId="0" xfId="0" applyFont="1" applyAlignment="1">
      <alignment/>
    </xf>
    <xf numFmtId="0" fontId="140" fillId="0" borderId="0" xfId="0" applyFont="1" applyBorder="1" applyAlignment="1" applyProtection="1">
      <alignment/>
      <protection/>
    </xf>
    <xf numFmtId="0" fontId="139" fillId="0" borderId="0" xfId="0" applyFont="1" applyAlignment="1">
      <alignment horizontal="left"/>
    </xf>
    <xf numFmtId="0" fontId="150" fillId="0" borderId="0" xfId="0" applyFont="1" applyAlignment="1" applyProtection="1">
      <alignment/>
      <protection/>
    </xf>
    <xf numFmtId="0" fontId="151" fillId="0" borderId="0" xfId="0" applyFont="1" applyBorder="1" applyAlignment="1" applyProtection="1">
      <alignment/>
      <protection/>
    </xf>
    <xf numFmtId="0" fontId="152" fillId="0" borderId="0" xfId="0" applyFont="1" applyBorder="1" applyAlignment="1" applyProtection="1">
      <alignment horizontal="right"/>
      <protection/>
    </xf>
    <xf numFmtId="2" fontId="61" fillId="0" borderId="0" xfId="0" applyNumberFormat="1" applyFont="1" applyBorder="1" applyAlignment="1" applyProtection="1">
      <alignment/>
      <protection/>
    </xf>
    <xf numFmtId="1" fontId="70" fillId="0" borderId="0" xfId="0" applyNumberFormat="1" applyFont="1" applyBorder="1" applyAlignment="1" applyProtection="1">
      <alignment/>
      <protection/>
    </xf>
    <xf numFmtId="2" fontId="138" fillId="0" borderId="0" xfId="0" applyNumberFormat="1" applyFont="1" applyBorder="1" applyAlignment="1" applyProtection="1">
      <alignment horizontal="right"/>
      <protection/>
    </xf>
    <xf numFmtId="188" fontId="42" fillId="0" borderId="0" xfId="0" applyNumberFormat="1" applyFont="1" applyFill="1" applyBorder="1" applyAlignment="1" applyProtection="1">
      <alignment horizontal="center"/>
      <protection/>
    </xf>
    <xf numFmtId="188" fontId="153" fillId="0" borderId="0" xfId="0" applyNumberFormat="1" applyFont="1" applyAlignment="1" applyProtection="1">
      <alignment/>
      <protection/>
    </xf>
    <xf numFmtId="1" fontId="139" fillId="0" borderId="0" xfId="0" applyNumberFormat="1" applyFont="1" applyAlignment="1" applyProtection="1">
      <alignment/>
      <protection/>
    </xf>
    <xf numFmtId="0" fontId="139" fillId="0" borderId="0" xfId="0" applyFont="1" applyAlignment="1" applyProtection="1" quotePrefix="1">
      <alignment horizontal="left"/>
      <protection/>
    </xf>
    <xf numFmtId="0" fontId="139" fillId="0" borderId="0" xfId="0" applyFont="1" applyAlignment="1" applyProtection="1">
      <alignment/>
      <protection/>
    </xf>
    <xf numFmtId="0" fontId="139" fillId="0" borderId="0" xfId="0" applyFont="1" applyAlignment="1" applyProtection="1">
      <alignment horizontal="left"/>
      <protection/>
    </xf>
    <xf numFmtId="0" fontId="154" fillId="0" borderId="0" xfId="0" applyFont="1" applyAlignment="1">
      <alignment/>
    </xf>
    <xf numFmtId="2" fontId="155" fillId="0" borderId="0" xfId="0" applyNumberFormat="1" applyFont="1" applyAlignment="1">
      <alignment/>
    </xf>
    <xf numFmtId="2" fontId="156" fillId="0" borderId="0" xfId="0" applyNumberFormat="1" applyFont="1" applyAlignment="1">
      <alignment/>
    </xf>
    <xf numFmtId="0" fontId="119" fillId="0" borderId="0" xfId="0" applyFont="1" applyAlignment="1">
      <alignment/>
    </xf>
    <xf numFmtId="0" fontId="0" fillId="0" borderId="0" xfId="0" applyAlignment="1">
      <alignment wrapText="1"/>
    </xf>
    <xf numFmtId="44" fontId="156" fillId="0" borderId="0" xfId="0" applyNumberFormat="1" applyFont="1" applyAlignment="1">
      <alignment/>
    </xf>
    <xf numFmtId="0" fontId="157" fillId="0" borderId="0" xfId="0" applyFont="1" applyAlignment="1">
      <alignment horizontal="left"/>
    </xf>
    <xf numFmtId="0" fontId="159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160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2" borderId="0" xfId="0" applyFont="1" applyFill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 horizontal="center"/>
      <protection/>
    </xf>
    <xf numFmtId="0" fontId="160" fillId="0" borderId="0" xfId="0" applyFont="1" applyAlignment="1">
      <alignment/>
    </xf>
    <xf numFmtId="2" fontId="135" fillId="0" borderId="0" xfId="0" applyNumberFormat="1" applyFont="1" applyAlignment="1">
      <alignment/>
    </xf>
    <xf numFmtId="2" fontId="161" fillId="0" borderId="0" xfId="0" applyNumberFormat="1" applyFont="1" applyAlignment="1">
      <alignment/>
    </xf>
    <xf numFmtId="2" fontId="162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89" fontId="8" fillId="0" borderId="0" xfId="0" applyNumberFormat="1" applyFont="1" applyBorder="1" applyAlignment="1" applyProtection="1">
      <alignment/>
      <protection/>
    </xf>
    <xf numFmtId="189" fontId="160" fillId="0" borderId="0" xfId="0" applyNumberFormat="1" applyFont="1" applyBorder="1" applyAlignment="1" applyProtection="1">
      <alignment/>
      <protection/>
    </xf>
    <xf numFmtId="0" fontId="163" fillId="0" borderId="0" xfId="0" applyFont="1" applyAlignment="1">
      <alignment/>
    </xf>
    <xf numFmtId="0" fontId="164" fillId="0" borderId="0" xfId="0" applyFont="1" applyAlignment="1">
      <alignment/>
    </xf>
    <xf numFmtId="0" fontId="165" fillId="0" borderId="0" xfId="0" applyFont="1" applyBorder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188" fontId="6" fillId="0" borderId="0" xfId="0" applyNumberFormat="1" applyFont="1" applyFill="1" applyAlignment="1" applyProtection="1">
      <alignment horizontal="right"/>
      <protection/>
    </xf>
    <xf numFmtId="189" fontId="46" fillId="0" borderId="0" xfId="0" applyNumberFormat="1" applyFont="1" applyFill="1" applyBorder="1" applyAlignment="1" applyProtection="1">
      <alignment horizontal="right"/>
      <protection/>
    </xf>
    <xf numFmtId="189" fontId="65" fillId="0" borderId="0" xfId="0" applyNumberFormat="1" applyFont="1" applyFill="1" applyBorder="1" applyAlignment="1" applyProtection="1">
      <alignment horizontal="right"/>
      <protection/>
    </xf>
    <xf numFmtId="0" fontId="167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8" fillId="5" borderId="0" xfId="0" applyFont="1" applyFill="1" applyAlignment="1" applyProtection="1">
      <alignment/>
      <protection/>
    </xf>
    <xf numFmtId="188" fontId="169" fillId="5" borderId="0" xfId="0" applyNumberFormat="1" applyFont="1" applyFill="1" applyAlignment="1" applyProtection="1" quotePrefix="1">
      <alignment horizontal="right"/>
      <protection/>
    </xf>
    <xf numFmtId="2" fontId="169" fillId="5" borderId="0" xfId="0" applyNumberFormat="1" applyFont="1" applyFill="1" applyAlignment="1" applyProtection="1">
      <alignment/>
      <protection/>
    </xf>
    <xf numFmtId="188" fontId="168" fillId="5" borderId="0" xfId="0" applyNumberFormat="1" applyFont="1" applyFill="1" applyAlignment="1" applyProtection="1">
      <alignment/>
      <protection/>
    </xf>
    <xf numFmtId="0" fontId="168" fillId="5" borderId="0" xfId="0" applyFont="1" applyFill="1" applyAlignment="1" applyProtection="1">
      <alignment horizontal="right"/>
      <protection/>
    </xf>
    <xf numFmtId="189" fontId="168" fillId="5" borderId="0" xfId="0" applyNumberFormat="1" applyFont="1" applyFill="1" applyAlignment="1" applyProtection="1">
      <alignment/>
      <protection/>
    </xf>
    <xf numFmtId="188" fontId="168" fillId="5" borderId="0" xfId="0" applyNumberFormat="1" applyFont="1" applyFill="1" applyBorder="1" applyAlignment="1" applyProtection="1">
      <alignment/>
      <protection/>
    </xf>
    <xf numFmtId="0" fontId="168" fillId="5" borderId="0" xfId="0" applyFont="1" applyFill="1" applyBorder="1" applyAlignment="1" applyProtection="1">
      <alignment/>
      <protection/>
    </xf>
    <xf numFmtId="0" fontId="169" fillId="5" borderId="22" xfId="0" applyFont="1" applyFill="1" applyBorder="1" applyAlignment="1" applyProtection="1">
      <alignment horizontal="left"/>
      <protection locked="0"/>
    </xf>
    <xf numFmtId="0" fontId="168" fillId="5" borderId="0" xfId="0" applyFont="1" applyFill="1" applyBorder="1" applyAlignment="1" applyProtection="1">
      <alignment/>
      <protection/>
    </xf>
    <xf numFmtId="0" fontId="170" fillId="5" borderId="0" xfId="0" applyFont="1" applyFill="1" applyBorder="1" applyAlignment="1" applyProtection="1">
      <alignment/>
      <protection/>
    </xf>
    <xf numFmtId="0" fontId="168" fillId="5" borderId="0" xfId="0" applyFont="1" applyFill="1" applyBorder="1" applyAlignment="1">
      <alignment/>
    </xf>
    <xf numFmtId="0" fontId="171" fillId="5" borderId="0" xfId="0" applyFont="1" applyFill="1" applyAlignment="1">
      <alignment/>
    </xf>
    <xf numFmtId="0" fontId="168" fillId="5" borderId="0" xfId="0" applyFont="1" applyFill="1" applyAlignment="1">
      <alignment/>
    </xf>
    <xf numFmtId="0" fontId="168" fillId="5" borderId="22" xfId="0" applyFont="1" applyFill="1" applyBorder="1" applyAlignment="1">
      <alignment horizontal="center"/>
    </xf>
    <xf numFmtId="0" fontId="168" fillId="5" borderId="0" xfId="0" applyFont="1" applyFill="1" applyAlignment="1">
      <alignment horizontal="center"/>
    </xf>
    <xf numFmtId="0" fontId="168" fillId="5" borderId="22" xfId="0" applyFont="1" applyFill="1" applyBorder="1" applyAlignment="1">
      <alignment/>
    </xf>
    <xf numFmtId="0" fontId="168" fillId="5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Температура на границе слоев</a:t>
            </a:r>
          </a:p>
        </c:rich>
      </c:tx>
      <c:layout>
        <c:manualLayout>
          <c:xMode val="factor"/>
          <c:yMode val="factor"/>
          <c:x val="0.03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05"/>
          <c:w val="0.98125"/>
          <c:h val="0.9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1Tепло!$J$16:$J$23</c:f>
              <c:strCache/>
            </c:strRef>
          </c:cat>
          <c:val>
            <c:numRef>
              <c:f>1Tепло!$K$16:$K$23</c:f>
              <c:numCache/>
            </c:numRef>
          </c:val>
          <c:smooth val="0"/>
        </c:ser>
        <c:marker val="1"/>
        <c:axId val="18518828"/>
        <c:axId val="32451725"/>
      </c:lineChart>
      <c:catAx>
        <c:axId val="185188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1725"/>
        <c:crossesAt val="-55"/>
        <c:auto val="0"/>
        <c:lblOffset val="100"/>
        <c:noMultiLvlLbl val="0"/>
      </c:catAx>
      <c:valAx>
        <c:axId val="32451725"/>
        <c:scaling>
          <c:orientation val="minMax"/>
          <c:max val="25"/>
          <c:min val="-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температура  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188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5Воздух!#REF!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5Воздух!#REF!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5Воздух!#REF!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5Воздух!#REF!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5Воздух!#REF!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5Воздух!#REF!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45990"/>
        <c:axId val="17278455"/>
      </c:lineChart>
      <c:catAx>
        <c:axId val="31745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78455"/>
        <c:crosses val="autoZero"/>
        <c:auto val="0"/>
        <c:lblOffset val="100"/>
        <c:noMultiLvlLbl val="0"/>
      </c:catAx>
      <c:valAx>
        <c:axId val="17278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45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температура на границе слоев при t1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5Воздух!#REF!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5Воздух!#REF!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5Воздух!#REF!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88368"/>
        <c:axId val="57377585"/>
      </c:lineChart>
      <c:catAx>
        <c:axId val="21288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77585"/>
        <c:crossesAt val="-25"/>
        <c:auto val="0"/>
        <c:lblOffset val="100"/>
        <c:noMultiLvlLbl val="0"/>
      </c:catAx>
      <c:valAx>
        <c:axId val="57377585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883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1Tепло!#REF!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1Tепло!#REF!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1Tепло!#REF!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1Tепло!#REF!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1Tепло!#REF!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1Tепло!#REF!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30070"/>
        <c:axId val="11344039"/>
      </c:lineChart>
      <c:catAx>
        <c:axId val="236300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44039"/>
        <c:crosses val="autoZero"/>
        <c:auto val="0"/>
        <c:lblOffset val="100"/>
        <c:noMultiLvlLbl val="0"/>
      </c:catAx>
      <c:valAx>
        <c:axId val="11344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300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температура на границе слоев при t1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1Tепло!#REF!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1Tепло!#REF!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1Tепло!#REF!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87488"/>
        <c:axId val="46451937"/>
      </c:lineChart>
      <c:catAx>
        <c:axId val="34987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51937"/>
        <c:crossesAt val="-25"/>
        <c:auto val="0"/>
        <c:lblOffset val="100"/>
        <c:noMultiLvlLbl val="0"/>
      </c:catAx>
      <c:valAx>
        <c:axId val="46451937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874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945"/>
          <c:h val="0.9985"/>
        </c:manualLayout>
      </c:layout>
      <c:lineChart>
        <c:grouping val="standard"/>
        <c:varyColors val="0"/>
        <c:ser>
          <c:idx val="0"/>
          <c:order val="0"/>
          <c:tx>
            <c:strRef>
              <c:f>2Пар!$E$36</c:f>
              <c:strCache>
                <c:ptCount val="1"/>
                <c:pt idx="0">
                  <c:v>2644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2Пар!$C$37:$C$44</c:f>
              <c:strCache/>
            </c:strRef>
          </c:cat>
          <c:val>
            <c:numRef>
              <c:f>2Пар!$E$37:$E$44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2Пар!$F$36</c:f>
              <c:strCache>
                <c:ptCount val="1"/>
                <c:pt idx="0">
                  <c:v>1719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2Пар!$C$37:$C$44</c:f>
              <c:strCache/>
            </c:strRef>
          </c:cat>
          <c:val>
            <c:numRef>
              <c:f>2Пар!$F$37:$F$44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5414250"/>
        <c:axId val="4510523"/>
      </c:lineChart>
      <c:catAx>
        <c:axId val="154142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523"/>
        <c:crosses val="autoZero"/>
        <c:auto val="0"/>
        <c:lblOffset val="100"/>
        <c:noMultiLvlLbl val="0"/>
      </c:catAx>
      <c:valAx>
        <c:axId val="4510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142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Температура на границе слоев при t1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7"/>
          <c:w val="0.9712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2Пар!$D$36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2Пар!$C$37:$C$44</c:f>
              <c:strCache/>
            </c:strRef>
          </c:cat>
          <c:val>
            <c:numRef>
              <c:f>2Пар!$D$37:$D$44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0594708"/>
        <c:axId val="29808053"/>
      </c:lineChart>
      <c:catAx>
        <c:axId val="405947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08053"/>
        <c:crossesAt val="-25"/>
        <c:auto val="0"/>
        <c:lblOffset val="100"/>
        <c:noMultiLvlLbl val="0"/>
      </c:catAx>
      <c:valAx>
        <c:axId val="29808053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94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3Тепуст!#REF!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3Тепуст!#REF!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3Тепуст!#REF!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3Тепуст!#REF!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3Тепуст!#REF!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3Тепуст!#REF!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45886"/>
        <c:axId val="65642063"/>
      </c:lineChart>
      <c:catAx>
        <c:axId val="669458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42063"/>
        <c:crosses val="autoZero"/>
        <c:auto val="0"/>
        <c:lblOffset val="100"/>
        <c:noMultiLvlLbl val="0"/>
      </c:catAx>
      <c:valAx>
        <c:axId val="65642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458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температура на границе слоев при t1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3Тепуст!#REF!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3Тепуст!#REF!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3Тепуст!#REF!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07656"/>
        <c:axId val="15406857"/>
      </c:lineChart>
      <c:catAx>
        <c:axId val="53907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06857"/>
        <c:crossesAt val="-25"/>
        <c:auto val="0"/>
        <c:lblOffset val="100"/>
        <c:noMultiLvlLbl val="0"/>
      </c:catAx>
      <c:valAx>
        <c:axId val="15406857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07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4Пол!#REF!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4Пол!#REF!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4Пол!#REF!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4Пол!#REF!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4Пол!#REF!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4Пол!#REF!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3986"/>
        <c:axId val="39995875"/>
      </c:lineChart>
      <c:catAx>
        <c:axId val="4443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95875"/>
        <c:crosses val="autoZero"/>
        <c:auto val="0"/>
        <c:lblOffset val="100"/>
        <c:noMultiLvlLbl val="0"/>
      </c:catAx>
      <c:valAx>
        <c:axId val="39995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3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температура на границе слоев при t1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4Пол!#REF!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4Пол!#REF!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4Пол!#REF!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18556"/>
        <c:axId val="18440413"/>
      </c:lineChart>
      <c:catAx>
        <c:axId val="244185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40413"/>
        <c:crossesAt val="-25"/>
        <c:auto val="0"/>
        <c:lblOffset val="100"/>
        <c:noMultiLvlLbl val="0"/>
      </c:catAx>
      <c:valAx>
        <c:axId val="18440413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185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0.99325</cdr:y>
    </cdr:from>
    <cdr:to>
      <cdr:x>0.611</cdr:x>
      <cdr:y>0.9965</cdr:y>
    </cdr:to>
    <cdr:sp>
      <cdr:nvSpPr>
        <cdr:cNvPr id="1" name="Text 1"/>
        <cdr:cNvSpPr txBox="1">
          <a:spLocks noChangeArrowheads="1"/>
        </cdr:cNvSpPr>
      </cdr:nvSpPr>
      <cdr:spPr>
        <a:xfrm>
          <a:off x="1733550" y="2876550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  слой       1              2             3              4              5            6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-0.1195</cdr:y>
    </cdr:from>
    <cdr:to>
      <cdr:x>0.12475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4287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 линия</a:t>
          </a:r>
        </a:p>
      </cdr:txBody>
    </cdr:sp>
  </cdr:relSizeAnchor>
  <cdr:relSizeAnchor xmlns:cdr="http://schemas.openxmlformats.org/drawingml/2006/chartDrawing">
    <cdr:from>
      <cdr:x>0.0095</cdr:x>
      <cdr:y>0.3135</cdr:y>
    </cdr:from>
    <cdr:to>
      <cdr:x>0.104</cdr:x>
      <cdr:y>-536870.5985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е линия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8</xdr:col>
      <xdr:colOff>133350</xdr:colOff>
      <xdr:row>38</xdr:row>
      <xdr:rowOff>0</xdr:rowOff>
    </xdr:to>
    <xdr:graphicFrame>
      <xdr:nvGraphicFramePr>
        <xdr:cNvPr id="1" name="Chart 19"/>
        <xdr:cNvGraphicFramePr/>
      </xdr:nvGraphicFramePr>
      <xdr:xfrm>
        <a:off x="19050" y="641032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38</xdr:row>
      <xdr:rowOff>0</xdr:rowOff>
    </xdr:from>
    <xdr:to>
      <xdr:col>18</xdr:col>
      <xdr:colOff>419100</xdr:colOff>
      <xdr:row>38</xdr:row>
      <xdr:rowOff>0</xdr:rowOff>
    </xdr:to>
    <xdr:graphicFrame>
      <xdr:nvGraphicFramePr>
        <xdr:cNvPr id="2" name="Chart 20"/>
        <xdr:cNvGraphicFramePr/>
      </xdr:nvGraphicFramePr>
      <xdr:xfrm>
        <a:off x="5153025" y="6410325"/>
        <a:ext cx="4076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-0.1195</cdr:y>
    </cdr:from>
    <cdr:to>
      <cdr:x>0.1175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 линия</a:t>
          </a:r>
        </a:p>
      </cdr:txBody>
    </cdr:sp>
  </cdr:relSizeAnchor>
  <cdr:relSizeAnchor xmlns:cdr="http://schemas.openxmlformats.org/drawingml/2006/chartDrawing">
    <cdr:from>
      <cdr:x>0.008</cdr:x>
      <cdr:y>0.32825</cdr:y>
    </cdr:from>
    <cdr:to>
      <cdr:x>0.101</cdr:x>
      <cdr:y>-536870.58375</cdr:y>
    </cdr:to>
    <cdr:sp>
      <cdr:nvSpPr>
        <cdr:cNvPr id="2" name="Text 2"/>
        <cdr:cNvSpPr txBox="1">
          <a:spLocks noChangeArrowheads="1"/>
        </cdr:cNvSpPr>
      </cdr:nvSpPr>
      <cdr:spPr>
        <a:xfrm>
          <a:off x="38100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е линия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6</xdr:row>
      <xdr:rowOff>19050</xdr:rowOff>
    </xdr:from>
    <xdr:to>
      <xdr:col>20</xdr:col>
      <xdr:colOff>276225</xdr:colOff>
      <xdr:row>22</xdr:row>
      <xdr:rowOff>142875</xdr:rowOff>
    </xdr:to>
    <xdr:graphicFrame>
      <xdr:nvGraphicFramePr>
        <xdr:cNvPr id="1" name="Chart 18"/>
        <xdr:cNvGraphicFramePr/>
      </xdr:nvGraphicFramePr>
      <xdr:xfrm>
        <a:off x="7943850" y="990600"/>
        <a:ext cx="296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8</xdr:col>
      <xdr:colOff>133350</xdr:colOff>
      <xdr:row>38</xdr:row>
      <xdr:rowOff>0</xdr:rowOff>
    </xdr:to>
    <xdr:graphicFrame>
      <xdr:nvGraphicFramePr>
        <xdr:cNvPr id="2" name="Chart 19"/>
        <xdr:cNvGraphicFramePr/>
      </xdr:nvGraphicFramePr>
      <xdr:xfrm>
        <a:off x="19050" y="6600825"/>
        <a:ext cx="5219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38</xdr:row>
      <xdr:rowOff>0</xdr:rowOff>
    </xdr:from>
    <xdr:to>
      <xdr:col>18</xdr:col>
      <xdr:colOff>409575</xdr:colOff>
      <xdr:row>38</xdr:row>
      <xdr:rowOff>0</xdr:rowOff>
    </xdr:to>
    <xdr:graphicFrame>
      <xdr:nvGraphicFramePr>
        <xdr:cNvPr id="3" name="Chart 20"/>
        <xdr:cNvGraphicFramePr/>
      </xdr:nvGraphicFramePr>
      <xdr:xfrm>
        <a:off x="5229225" y="660082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0.08975</cdr:y>
    </cdr:from>
    <cdr:to>
      <cdr:x>0.10525</cdr:x>
      <cdr:y>0.15225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2952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 линия</a:t>
          </a:r>
        </a:p>
      </cdr:txBody>
    </cdr:sp>
  </cdr:relSizeAnchor>
  <cdr:relSizeAnchor xmlns:cdr="http://schemas.openxmlformats.org/drawingml/2006/chartDrawing">
    <cdr:from>
      <cdr:x>0.001</cdr:x>
      <cdr:y>0.72625</cdr:y>
    </cdr:from>
    <cdr:to>
      <cdr:x>0.10425</cdr:x>
      <cdr:y>0.78875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24288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</a:rPr>
            <a:t>е линия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8</xdr:col>
      <xdr:colOff>133350</xdr:colOff>
      <xdr:row>66</xdr:row>
      <xdr:rowOff>133350</xdr:rowOff>
    </xdr:to>
    <xdr:graphicFrame>
      <xdr:nvGraphicFramePr>
        <xdr:cNvPr id="1" name="Chart 19"/>
        <xdr:cNvGraphicFramePr/>
      </xdr:nvGraphicFramePr>
      <xdr:xfrm>
        <a:off x="19050" y="7486650"/>
        <a:ext cx="4705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46</xdr:row>
      <xdr:rowOff>28575</xdr:rowOff>
    </xdr:from>
    <xdr:to>
      <xdr:col>18</xdr:col>
      <xdr:colOff>295275</xdr:colOff>
      <xdr:row>66</xdr:row>
      <xdr:rowOff>114300</xdr:rowOff>
    </xdr:to>
    <xdr:graphicFrame>
      <xdr:nvGraphicFramePr>
        <xdr:cNvPr id="2" name="Chart 20"/>
        <xdr:cNvGraphicFramePr/>
      </xdr:nvGraphicFramePr>
      <xdr:xfrm>
        <a:off x="4714875" y="7496175"/>
        <a:ext cx="39147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-0.1045</cdr:y>
    </cdr:from>
    <cdr:to>
      <cdr:x>0.11325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52400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 линия</a:t>
          </a:r>
        </a:p>
      </cdr:txBody>
    </cdr:sp>
  </cdr:relSizeAnchor>
  <cdr:relSizeAnchor xmlns:cdr="http://schemas.openxmlformats.org/drawingml/2006/chartDrawing">
    <cdr:from>
      <cdr:x>0.0085</cdr:x>
      <cdr:y>0.3135</cdr:y>
    </cdr:from>
    <cdr:to>
      <cdr:x>0.093</cdr:x>
      <cdr:y>-536870.5985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е линия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39</xdr:row>
      <xdr:rowOff>0</xdr:rowOff>
    </xdr:from>
    <xdr:to>
      <xdr:col>8</xdr:col>
      <xdr:colOff>133350</xdr:colOff>
      <xdr:row>39</xdr:row>
      <xdr:rowOff>0</xdr:rowOff>
    </xdr:to>
    <xdr:graphicFrame>
      <xdr:nvGraphicFramePr>
        <xdr:cNvPr id="1" name="Chart 19"/>
        <xdr:cNvGraphicFramePr/>
      </xdr:nvGraphicFramePr>
      <xdr:xfrm>
        <a:off x="19050" y="630555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36</xdr:row>
      <xdr:rowOff>0</xdr:rowOff>
    </xdr:from>
    <xdr:to>
      <xdr:col>18</xdr:col>
      <xdr:colOff>419100</xdr:colOff>
      <xdr:row>36</xdr:row>
      <xdr:rowOff>0</xdr:rowOff>
    </xdr:to>
    <xdr:graphicFrame>
      <xdr:nvGraphicFramePr>
        <xdr:cNvPr id="2" name="Chart 20"/>
        <xdr:cNvGraphicFramePr/>
      </xdr:nvGraphicFramePr>
      <xdr:xfrm>
        <a:off x="5753100" y="5819775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-0.1045</cdr:y>
    </cdr:from>
    <cdr:to>
      <cdr:x>0.10525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52400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 линия</a:t>
          </a:r>
        </a:p>
      </cdr:txBody>
    </cdr:sp>
  </cdr:relSizeAnchor>
  <cdr:relSizeAnchor xmlns:cdr="http://schemas.openxmlformats.org/drawingml/2006/chartDrawing">
    <cdr:from>
      <cdr:x>0.00775</cdr:x>
      <cdr:y>0.3135</cdr:y>
    </cdr:from>
    <cdr:to>
      <cdr:x>0.0865</cdr:x>
      <cdr:y>-536870.5985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е линия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8</xdr:col>
      <xdr:colOff>133350</xdr:colOff>
      <xdr:row>32</xdr:row>
      <xdr:rowOff>0</xdr:rowOff>
    </xdr:to>
    <xdr:graphicFrame>
      <xdr:nvGraphicFramePr>
        <xdr:cNvPr id="1" name="Chart 19"/>
        <xdr:cNvGraphicFramePr/>
      </xdr:nvGraphicFramePr>
      <xdr:xfrm>
        <a:off x="19050" y="5400675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32</xdr:row>
      <xdr:rowOff>0</xdr:rowOff>
    </xdr:from>
    <xdr:to>
      <xdr:col>18</xdr:col>
      <xdr:colOff>419100</xdr:colOff>
      <xdr:row>32</xdr:row>
      <xdr:rowOff>0</xdr:rowOff>
    </xdr:to>
    <xdr:graphicFrame>
      <xdr:nvGraphicFramePr>
        <xdr:cNvPr id="2" name="Chart 20"/>
        <xdr:cNvGraphicFramePr/>
      </xdr:nvGraphicFramePr>
      <xdr:xfrm>
        <a:off x="6172200" y="540067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57;&#1085;&#1080;&#1087;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Tепло"/>
      <sheetName val="2Пар"/>
      <sheetName val="3Тепуст"/>
      <sheetName val="4Пол"/>
      <sheetName val="5Воздух"/>
      <sheetName val="6Теплопост"/>
      <sheetName val="Tab"/>
    </sheetNames>
    <sheetDataSet>
      <sheetData sheetId="0">
        <row r="17">
          <cell r="Z17">
            <v>75</v>
          </cell>
        </row>
        <row r="18">
          <cell r="Z18">
            <v>37</v>
          </cell>
        </row>
        <row r="19">
          <cell r="Z19">
            <v>75</v>
          </cell>
        </row>
        <row r="20">
          <cell r="Z20">
            <v>37</v>
          </cell>
        </row>
        <row r="21">
          <cell r="Z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F:\Program%20Files\StroyConsultant\Temp\2041.htm" TargetMode="External" /><Relationship Id="rId2" Type="http://schemas.openxmlformats.org/officeDocument/2006/relationships/hyperlink" Target="file://F:\Program%20Files\StroyConsultant\Temp\2041.htm" TargetMode="External" /><Relationship Id="rId3" Type="http://schemas.openxmlformats.org/officeDocument/2006/relationships/hyperlink" Target="file://F:\Program%20Files\StroyConsultant\Temp\2041.htm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6"/>
  <sheetViews>
    <sheetView tabSelected="1" workbookViewId="0" topLeftCell="A13">
      <selection activeCell="A34" sqref="A34"/>
    </sheetView>
  </sheetViews>
  <sheetFormatPr defaultColWidth="9.140625" defaultRowHeight="12.75" customHeight="1"/>
  <cols>
    <col min="1" max="1" width="8.8515625" style="0" customWidth="1"/>
    <col min="2" max="2" width="26.421875" style="0" customWidth="1"/>
    <col min="3" max="5" width="7.140625" style="0" customWidth="1"/>
    <col min="6" max="6" width="7.421875" style="0" customWidth="1"/>
    <col min="7" max="7" width="6.57421875" style="1" customWidth="1"/>
    <col min="8" max="8" width="5.8515625" style="0" customWidth="1"/>
    <col min="9" max="10" width="7.57421875" style="1" customWidth="1"/>
    <col min="11" max="11" width="6.8515625" style="40" customWidth="1"/>
    <col min="12" max="12" width="5.7109375" style="0" customWidth="1"/>
    <col min="13" max="13" width="7.28125" style="2" customWidth="1"/>
    <col min="14" max="14" width="7.421875" style="0" customWidth="1"/>
    <col min="15" max="15" width="6.00390625" style="0" customWidth="1"/>
    <col min="16" max="16" width="7.8515625" style="0" customWidth="1"/>
    <col min="17" max="17" width="9.00390625" style="0" customWidth="1"/>
    <col min="18" max="18" width="5.28125" style="0" customWidth="1"/>
    <col min="19" max="19" width="6.7109375" style="0" customWidth="1"/>
    <col min="20" max="20" width="5.57421875" style="0" customWidth="1"/>
    <col min="21" max="21" width="4.140625" style="0" customWidth="1"/>
    <col min="22" max="22" width="3.00390625" style="0" customWidth="1"/>
    <col min="23" max="23" width="3.8515625" style="0" customWidth="1"/>
    <col min="24" max="24" width="5.00390625" style="0" customWidth="1"/>
    <col min="25" max="25" width="4.421875" style="0" customWidth="1"/>
    <col min="26" max="26" width="5.421875" style="0" customWidth="1"/>
    <col min="27" max="27" width="7.8515625" style="0" customWidth="1"/>
    <col min="28" max="28" width="7.7109375" style="0" customWidth="1"/>
    <col min="29" max="29" width="7.00390625" style="0" customWidth="1"/>
    <col min="30" max="30" width="6.7109375" style="0" customWidth="1"/>
    <col min="31" max="31" width="6.28125" style="0" customWidth="1"/>
    <col min="32" max="32" width="5.00390625" style="0" customWidth="1"/>
    <col min="33" max="33" width="4.421875" style="0" customWidth="1"/>
    <col min="34" max="34" width="10.00390625" style="0" customWidth="1"/>
    <col min="35" max="35" width="9.7109375" style="0" customWidth="1"/>
    <col min="36" max="36" width="10.28125" style="0" bestFit="1" customWidth="1"/>
  </cols>
  <sheetData>
    <row r="1" spans="1:32" ht="12.75" customHeight="1">
      <c r="A1" s="1073" t="s">
        <v>677</v>
      </c>
      <c r="B1" s="1074"/>
      <c r="C1" s="95"/>
      <c r="D1" s="95"/>
      <c r="E1" s="95"/>
      <c r="F1" s="95"/>
      <c r="G1" s="96" t="s">
        <v>0</v>
      </c>
      <c r="H1" s="97"/>
      <c r="I1" s="96"/>
      <c r="J1" s="96"/>
      <c r="K1" s="98"/>
      <c r="L1" s="97"/>
      <c r="M1" s="99"/>
      <c r="N1" s="100"/>
      <c r="O1" s="95"/>
      <c r="P1" s="101"/>
      <c r="Q1" s="102"/>
      <c r="R1" s="102"/>
      <c r="S1" s="102"/>
      <c r="T1" s="102"/>
      <c r="U1" s="94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2.75" customHeight="1">
      <c r="A2" s="162" t="s">
        <v>674</v>
      </c>
      <c r="B2" s="768"/>
      <c r="C2" s="164"/>
      <c r="D2" s="165"/>
      <c r="E2" s="165"/>
      <c r="F2" s="165"/>
      <c r="G2" s="166"/>
      <c r="H2" s="165"/>
      <c r="I2" s="166"/>
      <c r="J2" s="166"/>
      <c r="K2" s="167"/>
      <c r="L2" s="168"/>
      <c r="M2" s="169"/>
      <c r="N2" s="170"/>
      <c r="O2" s="165"/>
      <c r="P2" s="101"/>
      <c r="Q2" s="102"/>
      <c r="R2" s="102"/>
      <c r="S2" s="102"/>
      <c r="T2" s="102"/>
      <c r="U2" s="103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 customHeight="1" thickBot="1">
      <c r="A3" s="171"/>
      <c r="B3" s="171"/>
      <c r="C3" s="601" t="s">
        <v>1</v>
      </c>
      <c r="D3" s="171"/>
      <c r="E3" s="171"/>
      <c r="F3" s="171"/>
      <c r="G3" s="173"/>
      <c r="H3" s="171"/>
      <c r="I3" s="173"/>
      <c r="J3" s="173"/>
      <c r="K3" s="174"/>
      <c r="L3" s="171"/>
      <c r="M3" s="175"/>
      <c r="N3" s="176"/>
      <c r="O3" s="176"/>
      <c r="P3" s="44"/>
      <c r="Q3" s="44"/>
      <c r="R3" s="44"/>
      <c r="S3" s="8"/>
      <c r="T3" s="7"/>
      <c r="U3" s="6"/>
      <c r="V3" s="6"/>
      <c r="W3" s="6"/>
      <c r="X3" s="44"/>
      <c r="Y3" s="59"/>
      <c r="Z3" s="59"/>
      <c r="AA3" s="59"/>
      <c r="AB3" s="59"/>
      <c r="AC3" s="59"/>
      <c r="AD3" s="59"/>
      <c r="AE3" s="44"/>
      <c r="AF3" s="6"/>
    </row>
    <row r="4" spans="1:35" ht="12.75" customHeight="1" thickBot="1">
      <c r="A4" s="171"/>
      <c r="B4" s="177" t="s">
        <v>2</v>
      </c>
      <c r="C4" s="508"/>
      <c r="D4" s="179" t="s">
        <v>3</v>
      </c>
      <c r="E4" s="180"/>
      <c r="F4" s="178"/>
      <c r="G4"/>
      <c r="H4" s="181" t="s">
        <v>4</v>
      </c>
      <c r="I4" s="182"/>
      <c r="J4" s="761"/>
      <c r="K4"/>
      <c r="L4" s="181" t="s">
        <v>760</v>
      </c>
      <c r="M4" s="182"/>
      <c r="N4" s="1202"/>
      <c r="O4" s="1201"/>
      <c r="P4" s="1201"/>
      <c r="Q4" s="1202"/>
      <c r="R4" s="1202"/>
      <c r="S4" s="1203"/>
      <c r="T4" s="1204"/>
      <c r="U4" s="1205"/>
      <c r="V4" s="6"/>
      <c r="W4" s="6"/>
      <c r="X4" s="44"/>
      <c r="Y4" s="59"/>
      <c r="Z4" s="60"/>
      <c r="AA4" s="60"/>
      <c r="AB4" s="60"/>
      <c r="AC4" s="620" t="s">
        <v>768</v>
      </c>
      <c r="AD4" s="621"/>
      <c r="AE4" s="622"/>
      <c r="AF4" s="6"/>
      <c r="AH4" s="1215" t="s">
        <v>781</v>
      </c>
      <c r="AI4" s="1216"/>
    </row>
    <row r="5" spans="1:41" ht="12.75" customHeight="1" thickBot="1">
      <c r="A5" s="171"/>
      <c r="B5" s="183" t="str">
        <f>INDEX(Y29:Y31,Y28,1)</f>
        <v>  Жил. Учил. Санат.</v>
      </c>
      <c r="C5" s="431"/>
      <c r="D5" s="183" t="str">
        <f>INDEX(AB29:AB31,AB28,1)</f>
        <v> Наружная стена</v>
      </c>
      <c r="E5" s="185"/>
      <c r="F5" s="184"/>
      <c r="G5"/>
      <c r="H5" s="186" t="str">
        <f>INDEX(Tab!C171:C241,AD28,1)</f>
        <v>Москва</v>
      </c>
      <c r="I5" s="187"/>
      <c r="J5" s="762"/>
      <c r="K5"/>
      <c r="L5" s="1198" t="str">
        <f>INDEX($AG$29:$AG$30,$AG$28,1)</f>
        <v>Россия - I этап(до 2000г)</v>
      </c>
      <c r="M5" s="1199"/>
      <c r="N5" s="1200"/>
      <c r="Q5" s="44"/>
      <c r="R5" s="44"/>
      <c r="S5" s="8"/>
      <c r="T5" s="8"/>
      <c r="U5" s="6"/>
      <c r="V5" s="6"/>
      <c r="W5" s="34"/>
      <c r="X5" s="54"/>
      <c r="Y5" s="91"/>
      <c r="Z5" s="515"/>
      <c r="AA5" s="189"/>
      <c r="AB5" s="197"/>
      <c r="AC5" s="210" t="s">
        <v>5</v>
      </c>
      <c r="AD5" s="613"/>
      <c r="AE5" s="211">
        <f>CEILING(F30,250)</f>
        <v>5500</v>
      </c>
      <c r="AF5" s="6"/>
      <c r="AH5" s="1217">
        <v>1</v>
      </c>
      <c r="AI5" s="1217">
        <v>2</v>
      </c>
      <c r="AJ5">
        <v>3</v>
      </c>
      <c r="AK5">
        <v>4</v>
      </c>
      <c r="AL5">
        <v>5</v>
      </c>
      <c r="AM5">
        <v>6</v>
      </c>
      <c r="AN5">
        <v>7</v>
      </c>
      <c r="AO5">
        <v>8</v>
      </c>
    </row>
    <row r="6" spans="1:35" ht="12.75" customHeight="1" thickBot="1">
      <c r="A6" s="171"/>
      <c r="B6" s="171"/>
      <c r="C6" s="171"/>
      <c r="D6" s="176"/>
      <c r="E6" s="171"/>
      <c r="F6" s="171"/>
      <c r="G6" s="176"/>
      <c r="H6" s="176"/>
      <c r="I6" s="176"/>
      <c r="J6" s="176"/>
      <c r="K6" s="188"/>
      <c r="L6" s="189"/>
      <c r="M6" s="190"/>
      <c r="N6" s="176"/>
      <c r="O6" s="171"/>
      <c r="P6" s="44"/>
      <c r="Q6" s="44"/>
      <c r="R6" s="44"/>
      <c r="S6" s="8"/>
      <c r="T6" s="8"/>
      <c r="U6" s="6"/>
      <c r="V6" s="6"/>
      <c r="W6" s="34"/>
      <c r="X6" s="55"/>
      <c r="Y6" s="92"/>
      <c r="Z6" s="517"/>
      <c r="AA6" s="213"/>
      <c r="AB6" s="764"/>
      <c r="AC6" s="212" t="s">
        <v>6</v>
      </c>
      <c r="AD6" s="614"/>
      <c r="AE6" s="618">
        <f>IF(AE5&lt;=1500,1)+IF(AE5=1750,2)+IF(AE5=2000,3)+IF(AE5=2250,4)+IF(AE5=2500,5)+IF(AE5=2750,6)+IF(AE5=3000,7)+IF(AE5=3250,8)+IF(AE5=3500,9)+IF(AE5=3750,10)+IF(AE5=4000,11)+IF(AE5=4250,12)+IF(AE5=4500,13)+IF(AE5=4750,14)+IF(AE5=5000,15)+IF(AE5=5250,16)+IF(AE5=5500,17)+IF(AE5=5750,18)+IF(AE5=6000,19)+IF(AE5=6250,20)+IF(AE5=6500,21)+IF(AE5=6750,22)+IF(AE5=7000,23)+IF(AE5=7250,24)+IF(AE5=7500,25)+IF(AE5=7750,26)+IF(AE5=8000,27)+IF(AE5=8250,28)+IF(AE5=8500,29)+IF(AE5=8750,30)+IF(AE5=9000,31)+IF(AE5=9250,32)+IF(AE5=9500,33)+IF(AE5=9750,34)+IF(AE5=10000,35)+IF(AE5=10250,36)+IF(AE5=10500,37)+IF(AE5=10750,38)+IF(AE5=11000,30)+IF(AE5=11250,31)+IF(AE5=11500,32)+IF(AE5=11750,33)+IF(AE5=12000,34)</f>
        <v>17</v>
      </c>
      <c r="AF6" s="6"/>
      <c r="AH6" s="1218">
        <f>INDEX(Tab!D114:L156,AE6,AE7)</f>
        <v>1.9</v>
      </c>
      <c r="AI6" s="1219">
        <f>INDEX(Tab!M114:U166,$AE$6,AE7)</f>
        <v>3.325</v>
      </c>
    </row>
    <row r="7" spans="1:35" ht="12.75" customHeight="1" thickBot="1">
      <c r="A7" s="59"/>
      <c r="B7" s="202" t="s">
        <v>7</v>
      </c>
      <c r="C7" s="70"/>
      <c r="D7" s="458">
        <v>22</v>
      </c>
      <c r="E7" s="1193" t="s">
        <v>755</v>
      </c>
      <c r="G7" s="171"/>
      <c r="H7" s="202" t="s">
        <v>8</v>
      </c>
      <c r="I7" s="203"/>
      <c r="J7" s="203"/>
      <c r="K7" s="206"/>
      <c r="L7" s="207"/>
      <c r="M7" s="460">
        <f>INDEX(Tab!D171:E240,1Tепло!AD28,2)</f>
        <v>-26</v>
      </c>
      <c r="N7" s="199" t="s">
        <v>9</v>
      </c>
      <c r="P7" s="59"/>
      <c r="Q7" s="59"/>
      <c r="R7" s="59"/>
      <c r="S7" s="59"/>
      <c r="T7" s="59"/>
      <c r="U7" s="59"/>
      <c r="V7" s="59"/>
      <c r="W7" s="34"/>
      <c r="X7" s="56"/>
      <c r="Y7" s="519"/>
      <c r="Z7" s="517"/>
      <c r="AA7" s="213"/>
      <c r="AB7" s="765"/>
      <c r="AC7" s="214" t="s">
        <v>10</v>
      </c>
      <c r="AD7" s="615"/>
      <c r="AE7" s="619">
        <f>IF(AND(Y28=1,AB28=1),1)+IF(AND(Y28=1,AB28=2),2)+IF(AND(Y28=1,AB28=3),3)+IF(AND(Y28=2,AB28=1),4)+IF(AND(Y28=2,AB28=2),5)+IF(AND(Y28=2,AB28=3),6)+IF(AND(Y28=3,AB28=1),7)+IF(AND(Y28=3,AB28=2),8)+IF(AND(Y28=3,AB28=3),9)</f>
        <v>1</v>
      </c>
      <c r="AF7" s="6"/>
      <c r="AH7" s="52"/>
      <c r="AI7" s="52"/>
    </row>
    <row r="8" spans="1:41" ht="12.75" customHeight="1">
      <c r="A8" s="59"/>
      <c r="B8" s="202" t="s">
        <v>11</v>
      </c>
      <c r="C8" s="203"/>
      <c r="D8" s="458">
        <v>65</v>
      </c>
      <c r="E8" s="1194" t="s">
        <v>12</v>
      </c>
      <c r="G8" s="171"/>
      <c r="H8" s="202" t="s">
        <v>13</v>
      </c>
      <c r="I8" s="203"/>
      <c r="J8" s="203"/>
      <c r="K8" s="206"/>
      <c r="L8" s="207"/>
      <c r="M8" s="460">
        <f>INDEX(Tab!F171:F241,AD28,1)</f>
        <v>-3.6</v>
      </c>
      <c r="N8" s="199" t="s">
        <v>9</v>
      </c>
      <c r="P8" s="59"/>
      <c r="Q8" s="59"/>
      <c r="R8" s="59"/>
      <c r="S8" s="59"/>
      <c r="T8" s="59"/>
      <c r="U8" s="59"/>
      <c r="V8" s="59"/>
      <c r="W8" s="34"/>
      <c r="X8" s="610" t="s">
        <v>14</v>
      </c>
      <c r="Y8" s="92"/>
      <c r="Z8" s="64"/>
      <c r="AA8" s="59"/>
      <c r="AB8" s="624">
        <f>I33</f>
        <v>10.845555555555556</v>
      </c>
      <c r="AC8" s="59"/>
      <c r="AD8" s="59"/>
      <c r="AE8" s="44"/>
      <c r="AF8" s="6"/>
      <c r="AK8" t="s">
        <v>769</v>
      </c>
      <c r="AN8" s="40" t="s">
        <v>86</v>
      </c>
      <c r="AO8" s="1208">
        <f>F30</f>
        <v>5452.8</v>
      </c>
    </row>
    <row r="9" spans="1:37" ht="12.75" customHeight="1">
      <c r="A9" s="59"/>
      <c r="B9" s="203" t="s">
        <v>15</v>
      </c>
      <c r="C9" s="204"/>
      <c r="D9" s="1115">
        <v>6.75</v>
      </c>
      <c r="E9" s="1195" t="s">
        <v>837</v>
      </c>
      <c r="G9" s="171"/>
      <c r="H9" s="202" t="s">
        <v>16</v>
      </c>
      <c r="I9" s="205"/>
      <c r="J9" s="205"/>
      <c r="K9" s="208"/>
      <c r="L9" s="207"/>
      <c r="M9" s="460">
        <f>INDEX(Tab!G171:G242,AD28,1)</f>
        <v>213</v>
      </c>
      <c r="N9" s="200" t="s">
        <v>17</v>
      </c>
      <c r="P9" s="59"/>
      <c r="Q9" s="59"/>
      <c r="R9" s="59"/>
      <c r="S9" s="59"/>
      <c r="T9" s="59"/>
      <c r="U9" s="171"/>
      <c r="V9" s="59"/>
      <c r="W9" s="34"/>
      <c r="X9" s="55"/>
      <c r="Y9" s="55"/>
      <c r="Z9" s="57"/>
      <c r="AA9" s="44"/>
      <c r="AB9" s="58"/>
      <c r="AC9" s="44"/>
      <c r="AD9" s="44"/>
      <c r="AE9" s="44"/>
      <c r="AF9" s="6"/>
      <c r="AJ9" s="1207">
        <f>IF(F30&lt;=2500,4,IF(AND(F30&gt;2500,F30&lt;=3000),3,IF(AND(F30&gt;3000,F30&lt;=3500),2,IF(F30&gt;3500,1))))</f>
        <v>1</v>
      </c>
      <c r="AK9" s="40" t="s">
        <v>770</v>
      </c>
    </row>
    <row r="10" spans="1:38" ht="12.75" customHeight="1">
      <c r="A10" s="59"/>
      <c r="B10" s="203" t="s">
        <v>18</v>
      </c>
      <c r="C10" s="203"/>
      <c r="D10" s="459">
        <v>23</v>
      </c>
      <c r="E10" s="1195" t="s">
        <v>19</v>
      </c>
      <c r="G10" s="194"/>
      <c r="H10" s="203" t="s">
        <v>20</v>
      </c>
      <c r="I10" s="205"/>
      <c r="J10" s="205"/>
      <c r="K10" s="209"/>
      <c r="L10" s="207"/>
      <c r="M10" s="460" t="str">
        <f>INDEX(Tab!D171:D241,AD28,1)</f>
        <v>B</v>
      </c>
      <c r="N10" s="201"/>
      <c r="P10" s="59"/>
      <c r="Q10" s="59"/>
      <c r="R10" s="59"/>
      <c r="S10" s="59"/>
      <c r="T10" s="59"/>
      <c r="U10" s="59"/>
      <c r="V10" s="59"/>
      <c r="W10" s="1197"/>
      <c r="X10" s="6"/>
      <c r="Y10" s="6"/>
      <c r="Z10" s="14"/>
      <c r="AA10" s="6"/>
      <c r="AB10" s="15"/>
      <c r="AC10" s="6"/>
      <c r="AD10" s="6"/>
      <c r="AE10" s="6"/>
      <c r="AF10" s="6"/>
      <c r="AJ10" s="1182">
        <f>Y42</f>
        <v>2</v>
      </c>
      <c r="AK10" s="40" t="s">
        <v>771</v>
      </c>
      <c r="AL10" s="1213"/>
    </row>
    <row r="11" spans="1:37" ht="12.75" customHeight="1">
      <c r="A11" s="59"/>
      <c r="B11" s="203" t="s">
        <v>21</v>
      </c>
      <c r="C11" s="203"/>
      <c r="D11" s="1115">
        <v>0.85</v>
      </c>
      <c r="E11" s="1196" t="s">
        <v>754</v>
      </c>
      <c r="G11" s="194"/>
      <c r="H11" s="59"/>
      <c r="I11" s="62"/>
      <c r="J11" s="62"/>
      <c r="K11" s="84"/>
      <c r="L11" s="59"/>
      <c r="M11" s="59"/>
      <c r="N11" s="60"/>
      <c r="O11" s="59"/>
      <c r="P11" s="59"/>
      <c r="Q11" s="59"/>
      <c r="R11" s="59"/>
      <c r="S11" s="59"/>
      <c r="T11" s="59"/>
      <c r="U11" s="59"/>
      <c r="V11" s="59"/>
      <c r="W11" s="6"/>
      <c r="X11" s="6"/>
      <c r="Y11" s="6"/>
      <c r="Z11" s="14"/>
      <c r="AA11" s="6"/>
      <c r="AB11" s="15"/>
      <c r="AC11" s="6"/>
      <c r="AD11" s="6"/>
      <c r="AE11" s="6"/>
      <c r="AF11" s="6"/>
      <c r="AJ11" s="1214">
        <f>INDEX(Tab!D749:G756,AJ10,AJ9)</f>
        <v>0</v>
      </c>
      <c r="AK11" t="s">
        <v>780</v>
      </c>
    </row>
    <row r="12" spans="1:32" ht="12.75" customHeight="1">
      <c r="A12" s="59"/>
      <c r="B12" s="203" t="s">
        <v>22</v>
      </c>
      <c r="C12" s="203"/>
      <c r="D12" s="1115">
        <v>1</v>
      </c>
      <c r="E12" s="1195" t="s">
        <v>23</v>
      </c>
      <c r="G12" s="196" t="s">
        <v>24</v>
      </c>
      <c r="H12" s="62"/>
      <c r="I12" s="62"/>
      <c r="J12" s="62"/>
      <c r="K12" s="84"/>
      <c r="L12" s="64"/>
      <c r="M12" s="61"/>
      <c r="N12" s="60"/>
      <c r="O12" s="59"/>
      <c r="P12" s="59"/>
      <c r="Q12" s="59"/>
      <c r="R12" s="59"/>
      <c r="S12" s="59"/>
      <c r="T12" s="59"/>
      <c r="U12" s="59"/>
      <c r="V12" s="59"/>
      <c r="W12" s="6"/>
      <c r="X12" s="6"/>
      <c r="Y12" s="6"/>
      <c r="Z12" s="14"/>
      <c r="AA12" s="6"/>
      <c r="AB12" s="15"/>
      <c r="AC12" s="6"/>
      <c r="AD12" s="6"/>
      <c r="AE12" s="6"/>
      <c r="AF12" s="6"/>
    </row>
    <row r="13" spans="1:39" ht="12.75" customHeight="1">
      <c r="A13" s="59"/>
      <c r="B13" s="205" t="s">
        <v>25</v>
      </c>
      <c r="C13" s="203"/>
      <c r="D13" s="763">
        <f>INDEX(Tab!D162:F166,Y28,AB28)</f>
        <v>6</v>
      </c>
      <c r="E13" s="1193" t="s">
        <v>756</v>
      </c>
      <c r="G13" s="194"/>
      <c r="H13" s="60"/>
      <c r="I13" s="62"/>
      <c r="J13" s="60"/>
      <c r="K13" s="83"/>
      <c r="L13" s="60"/>
      <c r="M13" s="66"/>
      <c r="N13" s="59"/>
      <c r="O13" s="59"/>
      <c r="P13" s="59"/>
      <c r="Q13" s="59"/>
      <c r="R13" s="59"/>
      <c r="S13" s="59"/>
      <c r="T13" s="59"/>
      <c r="U13" s="59"/>
      <c r="V13" s="59"/>
      <c r="W13" s="6"/>
      <c r="X13" s="6"/>
      <c r="Y13" s="6"/>
      <c r="Z13" s="6"/>
      <c r="AA13" s="6"/>
      <c r="AB13" s="6"/>
      <c r="AC13" s="6"/>
      <c r="AD13" s="6"/>
      <c r="AE13" s="6"/>
      <c r="AF13" s="6"/>
      <c r="AK13" s="1152"/>
      <c r="AL13" s="1206"/>
      <c r="AM13" s="1152"/>
    </row>
    <row r="14" spans="1:39" ht="12.75" customHeight="1">
      <c r="A14" s="59"/>
      <c r="B14" s="59"/>
      <c r="C14" s="67"/>
      <c r="D14" s="68"/>
      <c r="E14" s="67"/>
      <c r="F14" s="67"/>
      <c r="G14" s="69"/>
      <c r="H14" s="59"/>
      <c r="I14" s="92"/>
      <c r="J14" s="92"/>
      <c r="K14" s="1283"/>
      <c r="L14" s="92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"/>
      <c r="X14" s="6"/>
      <c r="Y14" s="6"/>
      <c r="Z14" s="6"/>
      <c r="AA14" s="6"/>
      <c r="AB14" s="6"/>
      <c r="AC14" s="6"/>
      <c r="AD14" s="6"/>
      <c r="AE14" s="6"/>
      <c r="AF14" s="6"/>
      <c r="AJ14" s="3"/>
      <c r="AK14" s="3"/>
      <c r="AL14" s="3"/>
      <c r="AM14" s="3"/>
    </row>
    <row r="15" spans="1:39" ht="12.75" customHeight="1" thickBot="1">
      <c r="A15" s="1246" t="s">
        <v>795</v>
      </c>
      <c r="B15" s="1252" t="s">
        <v>26</v>
      </c>
      <c r="C15" s="59"/>
      <c r="D15" s="257" t="s">
        <v>27</v>
      </c>
      <c r="E15" s="80" t="s">
        <v>28</v>
      </c>
      <c r="F15" s="71" t="s">
        <v>29</v>
      </c>
      <c r="G15" s="81" t="s">
        <v>30</v>
      </c>
      <c r="H15" s="81" t="s">
        <v>31</v>
      </c>
      <c r="I15" s="629"/>
      <c r="J15" s="1284"/>
      <c r="K15" s="1285" t="s">
        <v>32</v>
      </c>
      <c r="L15" s="92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"/>
      <c r="X15" s="6"/>
      <c r="Y15" s="203" t="s">
        <v>33</v>
      </c>
      <c r="AA15" s="16" t="s">
        <v>34</v>
      </c>
      <c r="AB15" s="16" t="s">
        <v>35</v>
      </c>
      <c r="AC15" s="46" t="s">
        <v>36</v>
      </c>
      <c r="AD15" s="46" t="s">
        <v>37</v>
      </c>
      <c r="AE15" s="467" t="s">
        <v>38</v>
      </c>
      <c r="AF15" s="1289" t="s">
        <v>726</v>
      </c>
      <c r="AG15" s="1290"/>
      <c r="AH15" s="1290"/>
      <c r="AJ15" s="3"/>
      <c r="AK15" s="3"/>
      <c r="AL15" s="3"/>
      <c r="AM15" s="3"/>
    </row>
    <row r="16" spans="1:41" s="9" customFormat="1" ht="12.75" customHeight="1">
      <c r="A16" s="59">
        <v>1</v>
      </c>
      <c r="B16" s="767" t="str">
        <f>INDEX(Tab!C2:C117,Z16,1)</f>
        <v>Сосна и ель(поперек волок.)</v>
      </c>
      <c r="C16" s="72"/>
      <c r="D16" s="258">
        <v>430</v>
      </c>
      <c r="E16" s="193">
        <f aca="true" t="shared" si="0" ref="E16:E22">IF($M$10="A",AA16)+IF($M$10="B",AB16)</f>
        <v>0.18</v>
      </c>
      <c r="F16" s="874">
        <f aca="true" t="shared" si="1" ref="F16:F22">IF($M$10="A",AC16)+IF($M$10="B",AD16)</f>
        <v>4.54</v>
      </c>
      <c r="G16" s="191">
        <f>INDEX(Tab!H2:H107,Z16,1)</f>
        <v>0.06</v>
      </c>
      <c r="H16" s="192">
        <f>INDEX(Tab!I2:I107,Z16,1)</f>
        <v>500</v>
      </c>
      <c r="I16" s="171"/>
      <c r="J16" s="1285" t="s">
        <v>39</v>
      </c>
      <c r="K16" s="306">
        <f>D7-(D7-M7)*(C27)/C28</f>
        <v>19.244305772230888</v>
      </c>
      <c r="L16" s="92"/>
      <c r="M16" s="73"/>
      <c r="N16" s="63"/>
      <c r="O16" s="63"/>
      <c r="P16" s="63"/>
      <c r="Q16" s="63"/>
      <c r="R16" s="70"/>
      <c r="S16" s="70"/>
      <c r="T16" s="70"/>
      <c r="U16" s="70"/>
      <c r="V16" s="70"/>
      <c r="W16" s="23"/>
      <c r="X16" s="47"/>
      <c r="Y16" s="47"/>
      <c r="Z16" s="215">
        <v>37</v>
      </c>
      <c r="AA16" s="206">
        <f>INDEX(Tab!D2:D107,Z16,1)</f>
        <v>0.14</v>
      </c>
      <c r="AB16" s="206">
        <f>INDEX(Tab!E2:E107,Z16,1)</f>
        <v>0.18</v>
      </c>
      <c r="AC16" s="203">
        <f>INDEX(Tab!F2:F107,Z16,1)</f>
        <v>3.87</v>
      </c>
      <c r="AD16" s="203">
        <f>INDEX(Tab!G2:G107,Z16,1)</f>
        <v>4.54</v>
      </c>
      <c r="AE16" s="47">
        <f>INDEX(Tab!L2:L107,Z16,1)</f>
        <v>0</v>
      </c>
      <c r="AF16" s="1156">
        <f>INDEX(Tab!$O$2:$O$107,Z16,1)</f>
        <v>0</v>
      </c>
      <c r="AG16" s="1157"/>
      <c r="AH16" s="1157"/>
      <c r="AI16"/>
      <c r="AJ16" s="126"/>
      <c r="AK16" s="126"/>
      <c r="AL16" s="126"/>
      <c r="AM16" s="126"/>
      <c r="AN16" s="52"/>
      <c r="AO16" s="52"/>
    </row>
    <row r="17" spans="1:41" s="9" customFormat="1" ht="12.75" customHeight="1">
      <c r="A17" s="82">
        <v>2</v>
      </c>
      <c r="B17" s="767" t="str">
        <f>INDEX(Tab!C2:C117,Z17,1)</f>
        <v>  -- ПУСТО --</v>
      </c>
      <c r="C17" s="72"/>
      <c r="D17" s="258">
        <v>0</v>
      </c>
      <c r="E17" s="193">
        <f t="shared" si="0"/>
        <v>0</v>
      </c>
      <c r="F17" s="874">
        <f t="shared" si="1"/>
        <v>0</v>
      </c>
      <c r="G17" s="191">
        <f>INDEX(Tab!H2:H107,1Tепло!Z17,1)</f>
        <v>0</v>
      </c>
      <c r="H17" s="192">
        <f>INDEX(Tab!I2:I107,Z17,1)</f>
        <v>0</v>
      </c>
      <c r="I17" s="171"/>
      <c r="J17" s="1285" t="s">
        <v>40</v>
      </c>
      <c r="K17" s="306">
        <f>D7-(D7-M7)*(C27+E27)/C28</f>
        <v>-25.19126365054602</v>
      </c>
      <c r="L17" s="92"/>
      <c r="M17" s="73"/>
      <c r="N17" s="63"/>
      <c r="O17" s="63"/>
      <c r="P17" s="63"/>
      <c r="Q17" s="63"/>
      <c r="R17" s="70"/>
      <c r="S17" s="70"/>
      <c r="T17" s="70"/>
      <c r="U17" s="70"/>
      <c r="V17" s="70"/>
      <c r="W17" s="23"/>
      <c r="X17" s="47"/>
      <c r="Y17" s="47"/>
      <c r="Z17" s="215">
        <v>1</v>
      </c>
      <c r="AA17" s="206">
        <f>INDEX(Tab!D2:D107,Z17,1)</f>
        <v>0</v>
      </c>
      <c r="AB17" s="206">
        <f>INDEX(Tab!E2:E107,Z17,1)</f>
        <v>0</v>
      </c>
      <c r="AC17" s="203">
        <f>INDEX(Tab!F2:F107,Z17,1)</f>
        <v>0</v>
      </c>
      <c r="AD17" s="203">
        <f>INDEX(Tab!G2:G107,Z17,1)</f>
        <v>0</v>
      </c>
      <c r="AE17" s="47">
        <f>INDEX(Tab!L2:L107,Z17,1)</f>
        <v>0</v>
      </c>
      <c r="AF17" s="1156">
        <f>INDEX(Tab!$O$2:$O$107,Z17,1)</f>
        <v>0</v>
      </c>
      <c r="AG17" s="1157"/>
      <c r="AH17" s="1157"/>
      <c r="AI17"/>
      <c r="AJ17" s="53"/>
      <c r="AK17" s="53"/>
      <c r="AL17" s="53"/>
      <c r="AM17" s="53"/>
      <c r="AN17" s="52"/>
      <c r="AO17" s="52"/>
    </row>
    <row r="18" spans="1:41" s="9" customFormat="1" ht="15.75" customHeight="1">
      <c r="A18" s="83">
        <v>3</v>
      </c>
      <c r="B18" s="767" t="str">
        <f>INDEX(Tab!C2:C117,Z18,1)</f>
        <v>  -- ПУСТО --</v>
      </c>
      <c r="C18" s="72"/>
      <c r="D18" s="258">
        <v>0</v>
      </c>
      <c r="E18" s="193">
        <f t="shared" si="0"/>
        <v>0</v>
      </c>
      <c r="F18" s="874">
        <f t="shared" si="1"/>
        <v>0</v>
      </c>
      <c r="G18" s="191">
        <f>INDEX(Tab!H2:H107,1Tепло!Z18,1)</f>
        <v>0</v>
      </c>
      <c r="H18" s="192">
        <f>INDEX(Tab!I2:I107,Z18,1)</f>
        <v>0</v>
      </c>
      <c r="I18" s="171"/>
      <c r="J18" s="1285" t="s">
        <v>41</v>
      </c>
      <c r="K18" s="306">
        <f>D7-(D7-M7)*(C27+E27+G27)/C28</f>
        <v>-25.19126365054602</v>
      </c>
      <c r="L18" s="92"/>
      <c r="M18" s="73"/>
      <c r="N18" s="63"/>
      <c r="O18" s="63"/>
      <c r="P18" s="63"/>
      <c r="Q18" s="63"/>
      <c r="R18" s="70"/>
      <c r="S18" s="70"/>
      <c r="T18" s="70"/>
      <c r="U18" s="70"/>
      <c r="V18" s="70"/>
      <c r="W18" s="23"/>
      <c r="X18" s="47"/>
      <c r="Y18" s="47"/>
      <c r="Z18" s="216">
        <v>1</v>
      </c>
      <c r="AA18" s="206">
        <f>INDEX(Tab!D2:D107,Z18,1)</f>
        <v>0</v>
      </c>
      <c r="AB18" s="208">
        <f>INDEX(Tab!E2:E107,Z18,1)</f>
        <v>0</v>
      </c>
      <c r="AC18" s="203">
        <f>INDEX(Tab!F2:F107,Z18,1)</f>
        <v>0</v>
      </c>
      <c r="AD18" s="205">
        <f>INDEX(Tab!G2:G107,Z18,1)</f>
        <v>0</v>
      </c>
      <c r="AE18" s="47">
        <f>INDEX(Tab!L2:L107,Z18,1)</f>
        <v>0</v>
      </c>
      <c r="AF18" s="1156">
        <f>INDEX(Tab!$O$2:$O$107,Z18,1)</f>
        <v>0</v>
      </c>
      <c r="AG18" s="1157"/>
      <c r="AH18" s="1157"/>
      <c r="AI18"/>
      <c r="AJ18" s="53"/>
      <c r="AK18" s="53"/>
      <c r="AL18" s="53"/>
      <c r="AM18" s="53"/>
      <c r="AN18" s="52"/>
      <c r="AO18" s="52"/>
    </row>
    <row r="19" spans="1:41" s="9" customFormat="1" ht="15.75" customHeight="1">
      <c r="A19" s="1248">
        <v>4</v>
      </c>
      <c r="B19" s="767" t="str">
        <f>INDEX(Tab!C2:C117,Z19,1)</f>
        <v>  -- ПУСТО --</v>
      </c>
      <c r="C19" s="72"/>
      <c r="D19" s="258">
        <v>0</v>
      </c>
      <c r="E19" s="193">
        <f t="shared" si="0"/>
        <v>0</v>
      </c>
      <c r="F19" s="874">
        <f t="shared" si="1"/>
        <v>0</v>
      </c>
      <c r="G19" s="424">
        <f>INDEX(Tab!H2:H107,1Tепло!Z19,1)</f>
        <v>0</v>
      </c>
      <c r="H19" s="192">
        <f>INDEX(Tab!I2:I107,Z19,1)</f>
        <v>0</v>
      </c>
      <c r="I19" s="171"/>
      <c r="J19" s="1285" t="s">
        <v>42</v>
      </c>
      <c r="K19" s="1286">
        <f>D7-(D7-M7)*(C27+E27+G27+I27)/C28</f>
        <v>-25.19126365054602</v>
      </c>
      <c r="L19" s="92"/>
      <c r="M19" s="59"/>
      <c r="N19" s="59"/>
      <c r="O19" s="59"/>
      <c r="P19" s="59"/>
      <c r="Q19" s="63"/>
      <c r="R19" s="70"/>
      <c r="S19" s="70"/>
      <c r="T19" s="70"/>
      <c r="U19" s="70"/>
      <c r="V19" s="70"/>
      <c r="W19" s="23"/>
      <c r="X19" s="47"/>
      <c r="Y19" s="47"/>
      <c r="Z19" s="216">
        <v>1</v>
      </c>
      <c r="AA19" s="206">
        <f>INDEX(Tab!D2:D107,Z19,1)</f>
        <v>0</v>
      </c>
      <c r="AB19" s="208">
        <f>INDEX(Tab!E2:E107,Z19,1)</f>
        <v>0</v>
      </c>
      <c r="AC19" s="203">
        <f>INDEX(Tab!F2:F107,Z19,1)</f>
        <v>0</v>
      </c>
      <c r="AD19" s="205">
        <f>INDEX(Tab!G2:G107,Z19,1)</f>
        <v>0</v>
      </c>
      <c r="AE19" s="47">
        <f>INDEX(Tab!L2:L107,Z19,1)</f>
        <v>0</v>
      </c>
      <c r="AF19" s="1156">
        <f>INDEX(Tab!$O$2:$O$107,Z19,1)</f>
        <v>0</v>
      </c>
      <c r="AG19" s="1157"/>
      <c r="AH19" s="1157"/>
      <c r="AI19"/>
      <c r="AJ19" s="53"/>
      <c r="AK19" s="53"/>
      <c r="AL19" s="53"/>
      <c r="AM19" s="53"/>
      <c r="AN19" s="52"/>
      <c r="AO19" s="52"/>
    </row>
    <row r="20" spans="1:41" s="12" customFormat="1" ht="15.75" customHeight="1">
      <c r="A20" s="60">
        <v>5</v>
      </c>
      <c r="B20" s="690" t="str">
        <f>INDEX(Tab!C2:C117,Z20,1)</f>
        <v>  -- ПУСТО --</v>
      </c>
      <c r="C20" s="74"/>
      <c r="D20" s="258">
        <v>0</v>
      </c>
      <c r="E20" s="874">
        <f t="shared" si="0"/>
        <v>0</v>
      </c>
      <c r="F20" s="874">
        <f t="shared" si="1"/>
        <v>0</v>
      </c>
      <c r="G20" s="191">
        <f>INDEX(Tab!H2:H107,1Tепло!Z20,1)</f>
        <v>0</v>
      </c>
      <c r="H20" s="192">
        <f>INDEX(Tab!I2:I107,Z20,1)</f>
        <v>0</v>
      </c>
      <c r="I20" s="171"/>
      <c r="J20" s="1285" t="s">
        <v>43</v>
      </c>
      <c r="K20" s="293">
        <f>D7-(D7-M7)*(C27+E27+G27+I27+K27)/C28</f>
        <v>-25.19126365054602</v>
      </c>
      <c r="L20" s="92" t="s">
        <v>0</v>
      </c>
      <c r="M20" s="59"/>
      <c r="N20" s="59"/>
      <c r="O20" s="59"/>
      <c r="P20" s="59"/>
      <c r="Q20" s="62"/>
      <c r="R20" s="75"/>
      <c r="S20" s="75"/>
      <c r="T20" s="75"/>
      <c r="U20" s="75"/>
      <c r="V20" s="75"/>
      <c r="W20" s="25"/>
      <c r="X20" s="50"/>
      <c r="Y20" s="50"/>
      <c r="Z20" s="216">
        <v>1</v>
      </c>
      <c r="AA20" s="206">
        <f>INDEX(Tab!D2:D107,Z20,1)</f>
        <v>0</v>
      </c>
      <c r="AB20" s="208">
        <f>INDEX(Tab!E2:E107,Z20,1)</f>
        <v>0</v>
      </c>
      <c r="AC20" s="203">
        <f>INDEX(Tab!F2:F107,Z20,1)</f>
        <v>0</v>
      </c>
      <c r="AD20" s="205">
        <f>INDEX(Tab!G2:G107,Z20,1)</f>
        <v>0</v>
      </c>
      <c r="AE20" s="47">
        <f>INDEX(Tab!L2:L107,Z20,1)</f>
        <v>0</v>
      </c>
      <c r="AF20" s="1156">
        <f>INDEX(Tab!$O$2:$O$107,Z20,1)</f>
        <v>0</v>
      </c>
      <c r="AG20" s="1157"/>
      <c r="AH20" s="1157"/>
      <c r="AI20"/>
      <c r="AJ20" s="126"/>
      <c r="AK20" s="126"/>
      <c r="AL20" s="126"/>
      <c r="AM20" s="126"/>
      <c r="AN20" s="53"/>
      <c r="AO20" s="53"/>
    </row>
    <row r="21" spans="1:41" s="12" customFormat="1" ht="15.75" customHeight="1">
      <c r="A21" s="60">
        <v>6</v>
      </c>
      <c r="B21" s="690" t="str">
        <f>INDEX(Tab!C2:C118,Z21,1)</f>
        <v>  -- ПУСТО --</v>
      </c>
      <c r="C21" s="74"/>
      <c r="D21" s="258">
        <v>0</v>
      </c>
      <c r="E21" s="874">
        <f>IF($M$10="A",AA21)+IF($M$10="B",AB21)</f>
        <v>0</v>
      </c>
      <c r="F21" s="874">
        <f>IF($M$10="A",AC21)+IF($M$10="B",AD21)</f>
        <v>0</v>
      </c>
      <c r="G21" s="191">
        <f>INDEX(Tab!H2:H107,1Tепло!Z21,1)</f>
        <v>0</v>
      </c>
      <c r="H21" s="192">
        <f>INDEX(Tab!I2:I107,Z21,1)</f>
        <v>0</v>
      </c>
      <c r="I21" s="171"/>
      <c r="J21" s="1285" t="s">
        <v>44</v>
      </c>
      <c r="K21" s="293">
        <f>D7-(D7-M7)*(C27+E27+G27+I27+K27)/C28</f>
        <v>-25.19126365054602</v>
      </c>
      <c r="L21" s="92" t="s">
        <v>0</v>
      </c>
      <c r="M21" s="59"/>
      <c r="N21" s="59"/>
      <c r="O21" s="59"/>
      <c r="P21" s="59"/>
      <c r="Q21" s="62"/>
      <c r="R21" s="75"/>
      <c r="S21" s="75"/>
      <c r="T21" s="75"/>
      <c r="U21" s="75"/>
      <c r="V21" s="75"/>
      <c r="W21" s="25"/>
      <c r="X21" s="50"/>
      <c r="Y21" s="50"/>
      <c r="Z21" s="216">
        <v>1</v>
      </c>
      <c r="AA21" s="206">
        <f>INDEX(Tab!D2:D107,Z21,1)</f>
        <v>0</v>
      </c>
      <c r="AB21" s="208">
        <f>INDEX(Tab!E2:E107,Z21,1)</f>
        <v>0</v>
      </c>
      <c r="AC21" s="203">
        <f>INDEX(Tab!F2:F107,Z21,1)</f>
        <v>0</v>
      </c>
      <c r="AD21" s="205">
        <f>INDEX(Tab!G2:G107,Z21,1)</f>
        <v>0</v>
      </c>
      <c r="AE21" s="47">
        <f>INDEX(Tab!L2:L107,Z21,1)</f>
        <v>0</v>
      </c>
      <c r="AF21" s="1156">
        <f>INDEX(Tab!$O$2:$O$107,Z21,1)</f>
        <v>0</v>
      </c>
      <c r="AG21" s="1157"/>
      <c r="AH21" s="1157"/>
      <c r="AI21"/>
      <c r="AJ21" s="126"/>
      <c r="AK21" s="126"/>
      <c r="AL21" s="126"/>
      <c r="AM21" s="126"/>
      <c r="AN21" s="53"/>
      <c r="AO21" s="53"/>
    </row>
    <row r="22" spans="1:41" s="12" customFormat="1" ht="15.75" customHeight="1">
      <c r="A22" s="60">
        <v>7</v>
      </c>
      <c r="B22" s="492" t="str">
        <f>INDEX(Tab!C2:C117,Z22,1)</f>
        <v>  -- ПУСТО --</v>
      </c>
      <c r="C22" s="76"/>
      <c r="D22" s="258">
        <v>0</v>
      </c>
      <c r="E22" s="193">
        <f t="shared" si="0"/>
        <v>0</v>
      </c>
      <c r="F22" s="874">
        <f t="shared" si="1"/>
        <v>0</v>
      </c>
      <c r="G22" s="191">
        <f>INDEX(Tab!H2:H107,1Tепло!Z22,1)</f>
        <v>0</v>
      </c>
      <c r="H22" s="192">
        <f>INDEX(Tab!I2:I107,Z22,1)</f>
        <v>0</v>
      </c>
      <c r="I22" s="171"/>
      <c r="J22" s="1285" t="s">
        <v>855</v>
      </c>
      <c r="K22" s="293">
        <f>D7-(D7-M7)*(C27+E27+G27+I27+K27+M27)/C28</f>
        <v>-25.19126365054602</v>
      </c>
      <c r="L22" s="77"/>
      <c r="M22" s="78"/>
      <c r="N22" s="65"/>
      <c r="O22" s="65"/>
      <c r="P22" s="65"/>
      <c r="Q22" s="65"/>
      <c r="R22" s="75"/>
      <c r="S22" s="75"/>
      <c r="T22" s="75"/>
      <c r="U22" s="75"/>
      <c r="V22" s="75"/>
      <c r="W22" s="25"/>
      <c r="X22" s="50"/>
      <c r="Y22" s="50"/>
      <c r="Z22" s="216">
        <v>1</v>
      </c>
      <c r="AA22" s="206">
        <f>INDEX(Tab!D2:D107,Z22,1)</f>
        <v>0</v>
      </c>
      <c r="AB22" s="208">
        <f>INDEX(Tab!E2:E107,Z22,1)</f>
        <v>0</v>
      </c>
      <c r="AC22" s="203">
        <f>INDEX(Tab!F2:F107,Z22,1)</f>
        <v>0</v>
      </c>
      <c r="AD22" s="205">
        <f>INDEX(Tab!G2:G107,Z22,1)</f>
        <v>0</v>
      </c>
      <c r="AE22" s="47">
        <f>INDEX(Tab!L2:L107,Z22,1)</f>
        <v>0</v>
      </c>
      <c r="AF22" s="1156">
        <f>INDEX(Tab!$O$2:$O$107,Z22,1)</f>
        <v>0</v>
      </c>
      <c r="AG22" s="1157"/>
      <c r="AH22" s="1157"/>
      <c r="AI22"/>
      <c r="AJ22" s="53"/>
      <c r="AK22" s="53"/>
      <c r="AL22" s="53"/>
      <c r="AM22" s="53"/>
      <c r="AN22" s="53"/>
      <c r="AO22" s="53"/>
    </row>
    <row r="23" spans="1:41" s="12" customFormat="1" ht="15.75" customHeight="1" thickBot="1">
      <c r="A23" s="1247" t="s">
        <v>794</v>
      </c>
      <c r="B23" s="79"/>
      <c r="C23" s="766" t="s">
        <v>45</v>
      </c>
      <c r="D23" s="259">
        <f>SUM(D16:D22)</f>
        <v>430</v>
      </c>
      <c r="E23" s="260"/>
      <c r="F23" s="875"/>
      <c r="G23" s="171"/>
      <c r="H23" s="192"/>
      <c r="I23" s="171"/>
      <c r="J23" s="1285" t="s">
        <v>46</v>
      </c>
      <c r="K23" s="1287">
        <f>D7-(D7-M7)*(C27+E27+G27+I27+K27+M27+Q27)/C28</f>
        <v>-25.19126365054602</v>
      </c>
      <c r="L23" s="92"/>
      <c r="M23" s="59"/>
      <c r="N23" s="59"/>
      <c r="O23" s="59"/>
      <c r="P23" s="59"/>
      <c r="Q23" s="59"/>
      <c r="R23" s="75"/>
      <c r="S23" s="75"/>
      <c r="T23" s="75"/>
      <c r="U23" s="75"/>
      <c r="V23" s="75"/>
      <c r="W23" s="25"/>
      <c r="X23" s="50"/>
      <c r="Y23" s="50"/>
      <c r="Z23" s="44"/>
      <c r="AA23" s="44"/>
      <c r="AB23" s="44"/>
      <c r="AC23" s="44"/>
      <c r="AD23" s="44"/>
      <c r="AE23" s="50"/>
      <c r="AF23" s="50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34" s="222" customFormat="1" ht="15.75" customHeight="1" thickBot="1">
      <c r="A24" s="203"/>
      <c r="B24" s="266" t="s">
        <v>47</v>
      </c>
      <c r="C24" s="218" t="s">
        <v>48</v>
      </c>
      <c r="D24" s="219" t="s">
        <v>846</v>
      </c>
      <c r="E24" s="28" t="s">
        <v>49</v>
      </c>
      <c r="F24" s="27" t="s">
        <v>50</v>
      </c>
      <c r="G24" s="28" t="s">
        <v>51</v>
      </c>
      <c r="H24" s="27" t="s">
        <v>52</v>
      </c>
      <c r="I24" s="28" t="s">
        <v>53</v>
      </c>
      <c r="J24" s="27" t="s">
        <v>54</v>
      </c>
      <c r="K24" s="85" t="s">
        <v>55</v>
      </c>
      <c r="L24" s="27" t="s">
        <v>56</v>
      </c>
      <c r="M24" s="28" t="s">
        <v>57</v>
      </c>
      <c r="N24" s="27" t="s">
        <v>58</v>
      </c>
      <c r="O24" s="28" t="s">
        <v>59</v>
      </c>
      <c r="P24" s="27" t="s">
        <v>856</v>
      </c>
      <c r="Q24" s="28" t="s">
        <v>857</v>
      </c>
      <c r="R24" s="29" t="s">
        <v>60</v>
      </c>
      <c r="S24" s="221" t="s">
        <v>61</v>
      </c>
      <c r="T24" s="171"/>
      <c r="U24" s="203"/>
      <c r="V24" s="203"/>
      <c r="W24" s="203"/>
      <c r="X24" s="205"/>
      <c r="Y24" s="205"/>
      <c r="Z24" s="205"/>
      <c r="AA24" s="205"/>
      <c r="AB24" s="205"/>
      <c r="AC24" s="205"/>
      <c r="AD24" s="282"/>
      <c r="AE24" s="205"/>
      <c r="AF24" s="205"/>
      <c r="AG24" s="205"/>
      <c r="AH24" s="205"/>
    </row>
    <row r="25" spans="1:34" s="222" customFormat="1" ht="12.75" customHeight="1">
      <c r="A25" s="203"/>
      <c r="B25" s="203">
        <v>30</v>
      </c>
      <c r="C25" s="26" t="s">
        <v>62</v>
      </c>
      <c r="D25" s="30" t="s">
        <v>63</v>
      </c>
      <c r="E25" s="31" t="s">
        <v>64</v>
      </c>
      <c r="F25" s="30" t="s">
        <v>65</v>
      </c>
      <c r="G25" s="32" t="s">
        <v>66</v>
      </c>
      <c r="H25" s="30" t="s">
        <v>67</v>
      </c>
      <c r="I25" s="32" t="s">
        <v>68</v>
      </c>
      <c r="J25" s="30" t="s">
        <v>69</v>
      </c>
      <c r="K25" s="85" t="s">
        <v>70</v>
      </c>
      <c r="L25" s="30" t="s">
        <v>71</v>
      </c>
      <c r="M25" s="32" t="s">
        <v>72</v>
      </c>
      <c r="N25" s="30" t="s">
        <v>73</v>
      </c>
      <c r="O25" s="32" t="s">
        <v>74</v>
      </c>
      <c r="P25" s="30" t="s">
        <v>859</v>
      </c>
      <c r="Q25" s="32" t="s">
        <v>858</v>
      </c>
      <c r="R25" s="26" t="s">
        <v>75</v>
      </c>
      <c r="S25" s="263"/>
      <c r="T25" s="203"/>
      <c r="U25" s="203"/>
      <c r="V25" s="203"/>
      <c r="W25" s="203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</row>
    <row r="26" spans="1:50" s="222" customFormat="1" ht="12.75" customHeight="1">
      <c r="A26" s="203"/>
      <c r="B26" s="267" t="s">
        <v>76</v>
      </c>
      <c r="C26" s="224">
        <f>D9</f>
        <v>6.75</v>
      </c>
      <c r="D26" s="225">
        <f>D16/1000</f>
        <v>0.43</v>
      </c>
      <c r="E26" s="226">
        <f>E16</f>
        <v>0.18</v>
      </c>
      <c r="F26" s="225">
        <f>D17/1000</f>
        <v>0</v>
      </c>
      <c r="G26" s="226">
        <f>E17</f>
        <v>0</v>
      </c>
      <c r="H26" s="225">
        <f>D18/1000</f>
        <v>0</v>
      </c>
      <c r="I26" s="226">
        <f>E18</f>
        <v>0</v>
      </c>
      <c r="J26" s="225">
        <f>D19/1000</f>
        <v>0</v>
      </c>
      <c r="K26" s="227">
        <f>E19</f>
        <v>0</v>
      </c>
      <c r="L26" s="225">
        <f>D20/1000</f>
        <v>0</v>
      </c>
      <c r="M26" s="1117">
        <f>E20</f>
        <v>0</v>
      </c>
      <c r="N26" s="225">
        <f>D21/1000</f>
        <v>0</v>
      </c>
      <c r="O26" s="228">
        <f>E21</f>
        <v>0</v>
      </c>
      <c r="P26" s="225">
        <f>D22/1000</f>
        <v>0</v>
      </c>
      <c r="Q26" s="228">
        <f>E22</f>
        <v>0</v>
      </c>
      <c r="R26" s="224">
        <f>D10</f>
        <v>23</v>
      </c>
      <c r="S26" s="223"/>
      <c r="T26" s="203"/>
      <c r="U26" s="203"/>
      <c r="V26" s="203"/>
      <c r="W26" s="203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Q26"/>
      <c r="AR26"/>
      <c r="AS26"/>
      <c r="AT26"/>
      <c r="AU26"/>
      <c r="AV26"/>
      <c r="AW26"/>
      <c r="AX26"/>
    </row>
    <row r="27" spans="1:50" s="207" customFormat="1" ht="12.75" customHeight="1" thickBot="1">
      <c r="A27" s="203"/>
      <c r="B27" s="267" t="s">
        <v>76</v>
      </c>
      <c r="C27" s="475">
        <f>1/C26</f>
        <v>0.14814814814814814</v>
      </c>
      <c r="D27" s="229" t="s">
        <v>77</v>
      </c>
      <c r="E27" s="863">
        <f>IF(Z16=1,0)+IF(Z16&gt;2,D26/E26)</f>
        <v>2.388888888888889</v>
      </c>
      <c r="F27" s="864" t="s">
        <v>78</v>
      </c>
      <c r="G27" s="863">
        <f>IF(Z17=1,0)+IF(Z17=2,0.15)+IF(Z17=3,0.16)+IF(Z17=4,0.17)+IF(Z17=5,0.18)+IF(Z17&gt;6,F26/G26)</f>
        <v>0</v>
      </c>
      <c r="H27" s="864" t="s">
        <v>77</v>
      </c>
      <c r="I27" s="863">
        <f>IF(Z18=1,0)+IF(Z18=2,0.15)+IF(Z18=3,0.16)+IF(Z18=4,0.17)+IF(Z18=5,0.18)+IF(Z18&gt;6,H26/I26)</f>
        <v>0</v>
      </c>
      <c r="J27" s="864" t="s">
        <v>78</v>
      </c>
      <c r="K27" s="865">
        <f>IF(Z19=1,0)+IF(Z19=2,0.15)+IF(Z19=3,0.16)+IF(Z19=4,0.17)+IF(Z19=5,0.18)+IF(Z19&gt;6,J26/K26)</f>
        <v>0</v>
      </c>
      <c r="L27" s="864" t="s">
        <v>77</v>
      </c>
      <c r="M27" s="863">
        <f>IF(Z20=1,0)+IF(Z20=2,0.15)+IF(Z20=3,0.16)+IF(Z20=4,0.17)+IF(Z20=5,0.18)+IF(Z20&gt;6,L26/M26)</f>
        <v>0</v>
      </c>
      <c r="N27" s="191" t="s">
        <v>77</v>
      </c>
      <c r="O27" s="863">
        <f>IF(Z21=1,0)+IF(Z21=2,0.15)+IF(Z21=3,0.16)+IF(Z21=4,0.17)+IF(Z21=5,0.18)+IF(Z21&gt;6,N26/O26)</f>
        <v>0</v>
      </c>
      <c r="P27" s="191" t="s">
        <v>77</v>
      </c>
      <c r="Q27" s="863">
        <f>IF(Z22=1,0)+IF(Z22&gt;6,P26/Q26)</f>
        <v>0</v>
      </c>
      <c r="R27" s="864" t="s">
        <v>79</v>
      </c>
      <c r="S27" s="475">
        <f>1/R26</f>
        <v>0.043478260869565216</v>
      </c>
      <c r="T27" s="231" t="s">
        <v>61</v>
      </c>
      <c r="U27" s="171"/>
      <c r="V27" s="171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K27" s="604"/>
      <c r="AM27" s="232"/>
      <c r="AQ27"/>
      <c r="AR27"/>
      <c r="AS27"/>
      <c r="AT27"/>
      <c r="AU27"/>
      <c r="AV27"/>
      <c r="AW27"/>
      <c r="AX27"/>
    </row>
    <row r="28" spans="1:48" s="1308" customFormat="1" ht="27" customHeight="1" thickBot="1">
      <c r="A28" s="1295"/>
      <c r="B28" s="1296" t="s">
        <v>76</v>
      </c>
      <c r="C28" s="1297">
        <f>C27+E27+G27+I27+K27+M27+Q27+O27+S27</f>
        <v>2.5805152979066026</v>
      </c>
      <c r="D28" s="1298"/>
      <c r="E28" s="1295"/>
      <c r="F28" s="1295"/>
      <c r="G28" s="1295"/>
      <c r="H28" s="1295"/>
      <c r="I28" s="1295"/>
      <c r="J28" s="1298"/>
      <c r="K28" s="1299"/>
      <c r="L28" s="1295"/>
      <c r="M28" s="1300"/>
      <c r="N28" s="1295"/>
      <c r="O28" s="1301"/>
      <c r="P28" s="1302"/>
      <c r="Q28" s="1295"/>
      <c r="R28" s="1295"/>
      <c r="S28" s="1295"/>
      <c r="T28" s="1295"/>
      <c r="U28" s="1295"/>
      <c r="V28" s="1295"/>
      <c r="W28" s="1295"/>
      <c r="X28" s="1295"/>
      <c r="Y28" s="1303">
        <v>1</v>
      </c>
      <c r="Z28" s="1304"/>
      <c r="AA28" s="1302"/>
      <c r="AB28" s="1303">
        <v>1</v>
      </c>
      <c r="AC28" s="1305"/>
      <c r="AD28" s="1303">
        <v>18</v>
      </c>
      <c r="AE28" s="1306"/>
      <c r="AF28" s="1307"/>
      <c r="AG28" s="1303">
        <v>1</v>
      </c>
      <c r="AH28" s="1307"/>
      <c r="AI28" s="1307"/>
      <c r="AK28" s="1309" t="s">
        <v>80</v>
      </c>
      <c r="AL28" s="1310"/>
      <c r="AM28" s="1309" t="s">
        <v>81</v>
      </c>
      <c r="AN28" s="1311" t="s">
        <v>82</v>
      </c>
      <c r="AO28" s="1312" t="s">
        <v>863</v>
      </c>
      <c r="AP28" s="1312" t="s">
        <v>864</v>
      </c>
      <c r="AQ28" s="1312" t="s">
        <v>865</v>
      </c>
      <c r="AR28" s="1312" t="s">
        <v>866</v>
      </c>
      <c r="AS28" s="1312" t="s">
        <v>867</v>
      </c>
      <c r="AT28" s="1312" t="s">
        <v>868</v>
      </c>
      <c r="AU28" s="1312" t="s">
        <v>869</v>
      </c>
      <c r="AV28" s="1312" t="s">
        <v>845</v>
      </c>
    </row>
    <row r="29" spans="1:48" s="207" customFormat="1" ht="12.75" customHeight="1" thickBot="1">
      <c r="A29" s="203"/>
      <c r="B29" s="267" t="s">
        <v>83</v>
      </c>
      <c r="C29" s="1253" t="s">
        <v>797</v>
      </c>
      <c r="D29"/>
      <c r="E29" s="239"/>
      <c r="F29" s="1249">
        <f>C28*D11</f>
        <v>2.193438003220612</v>
      </c>
      <c r="G29" s="1222" t="s">
        <v>784</v>
      </c>
      <c r="H29" s="1221" t="s">
        <v>782</v>
      </c>
      <c r="I29" s="240"/>
      <c r="J29" s="171"/>
      <c r="K29" s="174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203"/>
      <c r="W29" s="203"/>
      <c r="X29" s="203"/>
      <c r="Y29" s="610" t="s">
        <v>84</v>
      </c>
      <c r="Z29" s="55"/>
      <c r="AA29" s="237"/>
      <c r="AB29" s="612" t="s">
        <v>85</v>
      </c>
      <c r="AC29" s="611"/>
      <c r="AD29" s="760" t="s">
        <v>4</v>
      </c>
      <c r="AE29" s="756"/>
      <c r="AF29" s="606"/>
      <c r="AG29" s="605" t="s">
        <v>758</v>
      </c>
      <c r="AH29" s="606"/>
      <c r="AI29"/>
      <c r="AK29" s="243">
        <v>11</v>
      </c>
      <c r="AM29" s="244">
        <f>ROUND(2Пар!D23,1)</f>
        <v>-9</v>
      </c>
      <c r="AN29" s="245">
        <f>IF(AM29=-20,1)+IF(AM29=-19,2)+IF(AM29=-18,3)+IF(AM29=-17,4)+IF(AM29=-16,5)+IF(AM29=-15,6)+IF(AM29=-14,7)+IF(AM29=-13,8)+IF(AM29=-12,9)+IF(AM29=-11,10)+IF(AM29=-10,11)+IF(AM29=-9,12)+IF(AM29=-8,13)+IF(AM29=-7,14)+IF(AM29=-6,15)+IF(AM29=-5,16)+IF(AM29=-4,17)+IF(AM29=-3,18)+IF(AM29=-2,19)+IF(AM29=-1,20)+IF(AM29=0,21)+IF(AM29=1,22)+IF(AM29=2,23)</f>
        <v>12</v>
      </c>
      <c r="AO29" s="464">
        <f>IF(H22=0,10)+IF(H22&gt;0,E22)</f>
        <v>10</v>
      </c>
      <c r="AP29" s="465">
        <f>IF(H20=0,10)+IF(H20&gt;0,E20)</f>
        <v>10</v>
      </c>
      <c r="AQ29" s="464">
        <f>IF(H19=0,10)+IF(H19&gt;0,E19)</f>
        <v>10</v>
      </c>
      <c r="AR29" s="464">
        <f>IF(H18=0,10)+IF(H18&gt;0,E18)</f>
        <v>10</v>
      </c>
      <c r="AS29" s="464">
        <f>IF(H17=0,10)+IF(H17&gt;0,E17)</f>
        <v>10</v>
      </c>
      <c r="AT29" s="466">
        <f>IF(H16=0,10)+IF(H16&gt;0,E16)</f>
        <v>0.18</v>
      </c>
      <c r="AU29" s="464">
        <f>MIN(AO29:AT29)</f>
        <v>0.18</v>
      </c>
      <c r="AV29" s="474">
        <f>(7-MATCH(AU29,AO29:AT29,0))</f>
        <v>1</v>
      </c>
    </row>
    <row r="30" spans="1:50" s="207" customFormat="1" ht="12.75" customHeight="1">
      <c r="A30" s="203"/>
      <c r="B30" s="268" t="s">
        <v>86</v>
      </c>
      <c r="C30" s="1254" t="s">
        <v>87</v>
      </c>
      <c r="D30" s="192"/>
      <c r="E30" s="239" t="s">
        <v>88</v>
      </c>
      <c r="F30" s="1250">
        <f>(D7-M8)*M9</f>
        <v>5452.8</v>
      </c>
      <c r="G30" s="1222" t="s">
        <v>785</v>
      </c>
      <c r="H30" s="240"/>
      <c r="I30" s="223"/>
      <c r="J30" s="223"/>
      <c r="K30" s="268"/>
      <c r="L30" s="602"/>
      <c r="M30" s="362"/>
      <c r="N30" s="240"/>
      <c r="O30" s="247"/>
      <c r="P30" s="247"/>
      <c r="Q30" s="192"/>
      <c r="R30" s="203"/>
      <c r="S30" s="248"/>
      <c r="T30" s="203"/>
      <c r="U30" s="203"/>
      <c r="V30" s="203"/>
      <c r="W30" s="203"/>
      <c r="X30" s="203"/>
      <c r="Y30" s="249" t="s">
        <v>89</v>
      </c>
      <c r="Z30" s="176"/>
      <c r="AA30" s="242"/>
      <c r="AB30" s="250" t="s">
        <v>90</v>
      </c>
      <c r="AC30" s="241"/>
      <c r="AD30" s="759"/>
      <c r="AE30" s="126"/>
      <c r="AF30" s="608"/>
      <c r="AG30" s="607" t="s">
        <v>759</v>
      </c>
      <c r="AH30" s="608"/>
      <c r="AI30"/>
      <c r="AX30" s="207" t="s">
        <v>792</v>
      </c>
    </row>
    <row r="31" spans="1:50" s="207" customFormat="1" ht="12.75" customHeight="1" thickBot="1">
      <c r="A31" s="203"/>
      <c r="B31" s="267" t="s">
        <v>91</v>
      </c>
      <c r="C31" s="1255" t="s">
        <v>798</v>
      </c>
      <c r="D31"/>
      <c r="E31" s="239" t="s">
        <v>88</v>
      </c>
      <c r="F31" s="1251">
        <f>D12*(D7-M7)/(D13*D9)</f>
        <v>1.1851851851851851</v>
      </c>
      <c r="G31" s="1222" t="s">
        <v>784</v>
      </c>
      <c r="H31" s="1220" t="s">
        <v>783</v>
      </c>
      <c r="I31" s="364"/>
      <c r="J31" s="364"/>
      <c r="K31" s="206"/>
      <c r="L31" s="192"/>
      <c r="M31" s="235"/>
      <c r="N31" s="192"/>
      <c r="O31" s="192"/>
      <c r="P31" s="192"/>
      <c r="Q31" s="192"/>
      <c r="R31" s="203"/>
      <c r="S31" s="203"/>
      <c r="T31" s="203"/>
      <c r="U31" s="203"/>
      <c r="V31" s="203"/>
      <c r="W31" s="203"/>
      <c r="X31" s="203"/>
      <c r="Y31" s="251" t="s">
        <v>92</v>
      </c>
      <c r="Z31" s="755"/>
      <c r="AA31" s="252"/>
      <c r="AB31" s="253" t="s">
        <v>93</v>
      </c>
      <c r="AC31" s="755"/>
      <c r="AD31" s="757"/>
      <c r="AE31" s="758"/>
      <c r="AF31" s="588"/>
      <c r="AG31" s="609"/>
      <c r="AH31" s="588"/>
      <c r="AI31"/>
      <c r="AX31" s="1223">
        <f>IF(AND(F29&gt;=F31,F29&gt;=F32),3)+IF(AND(F29&gt;=F31,F29&lt;F32),4)+IF(AND(F29&lt;F31,F29&gt;F32),4)+IF(AND(F29&lt;F31,F29&lt;F32),4)</f>
        <v>4</v>
      </c>
    </row>
    <row r="32" spans="1:33" s="207" customFormat="1" ht="12.75" customHeight="1">
      <c r="A32" s="203"/>
      <c r="B32" s="267" t="s">
        <v>94</v>
      </c>
      <c r="C32" s="192"/>
      <c r="D32" s="192"/>
      <c r="E32" s="239" t="s">
        <v>88</v>
      </c>
      <c r="F32" s="1249">
        <f>IF(Y42=1,AH6*D12)+IF(Y42=2,AI6*D12)+IF(Y42&gt;=3,AJ11*D12)</f>
        <v>3.325</v>
      </c>
      <c r="G32" s="1222" t="s">
        <v>784</v>
      </c>
      <c r="H32" s="1220" t="str">
        <f>INDEX(AI43:AI50,Y42,1)</f>
        <v>минимальное терм. сопр. из условий энергосбережения (согл. СНИП-II-3-79 табл.1а и СП-41-99)</v>
      </c>
      <c r="I32" s="364"/>
      <c r="J32" s="364"/>
      <c r="K32" s="206"/>
      <c r="L32" s="192"/>
      <c r="M32" s="235"/>
      <c r="N32" s="192"/>
      <c r="O32" s="192"/>
      <c r="P32" s="192"/>
      <c r="Q32" s="192"/>
      <c r="R32" s="203"/>
      <c r="S32" s="203"/>
      <c r="T32" s="203"/>
      <c r="U32" s="203"/>
      <c r="V32" s="203"/>
      <c r="W32" s="203"/>
      <c r="X32" s="203"/>
      <c r="Y32" s="203"/>
      <c r="Z32" s="203"/>
      <c r="AA32" s="194"/>
      <c r="AB32" s="176"/>
      <c r="AC32" s="205"/>
      <c r="AD32" s="347"/>
      <c r="AE32" s="176"/>
      <c r="AF32" s="176"/>
      <c r="AG32" s="126"/>
    </row>
    <row r="33" spans="1:34" s="207" customFormat="1" ht="12.75" customHeight="1">
      <c r="A33"/>
      <c r="B33" s="462" t="s">
        <v>14</v>
      </c>
      <c r="C33" s="1256" t="s">
        <v>95</v>
      </c>
      <c r="D33" s="192"/>
      <c r="E33" s="239"/>
      <c r="F33" s="256"/>
      <c r="G33" s="223"/>
      <c r="H33" s="192"/>
      <c r="I33" s="367">
        <f>E27*F16+G27*F17+I27*F18+K27*F19+M27*F20+Q27*F22</f>
        <v>10.845555555555556</v>
      </c>
      <c r="J33"/>
      <c r="K33" s="234"/>
      <c r="L33" s="192" t="s">
        <v>678</v>
      </c>
      <c r="M33" s="235">
        <f>3Тепуст!C20</f>
        <v>3212.1947892969188</v>
      </c>
      <c r="N33" s="192"/>
      <c r="O33" s="192"/>
      <c r="P33" s="192" t="s">
        <v>730</v>
      </c>
      <c r="Q33" s="192"/>
      <c r="R33" s="203"/>
      <c r="S33" s="203"/>
      <c r="T33" s="203"/>
      <c r="U33" s="203"/>
      <c r="V33" s="203"/>
      <c r="W33" s="203"/>
      <c r="X33" s="203"/>
      <c r="Y33" s="203"/>
      <c r="Z33"/>
      <c r="AA33" s="3"/>
      <c r="AB33" s="623"/>
      <c r="AC33" s="205"/>
      <c r="AD33" s="203"/>
      <c r="AE33" s="203"/>
      <c r="AF33" s="203"/>
      <c r="AH33" s="232"/>
    </row>
    <row r="34" spans="1:50" s="207" customFormat="1" ht="12.75" customHeight="1" thickBot="1">
      <c r="A34" s="203"/>
      <c r="B34" s="269" t="s">
        <v>96</v>
      </c>
      <c r="C34" s="1257" t="s">
        <v>97</v>
      </c>
      <c r="D34" s="203"/>
      <c r="E34" s="366"/>
      <c r="F34" s="359">
        <f>D7-(D7-M7)/(C28*8.7)</f>
        <v>19.861961375006725</v>
      </c>
      <c r="G34" s="360" t="s">
        <v>98</v>
      </c>
      <c r="H34"/>
      <c r="I34" s="269" t="s">
        <v>99</v>
      </c>
      <c r="J34" s="359">
        <f>INDEX(Tab!C328:I368,AA36,AB36)</f>
        <v>16.07</v>
      </c>
      <c r="K34" s="361" t="s">
        <v>100</v>
      </c>
      <c r="L34" s="192"/>
      <c r="M34" s="235"/>
      <c r="N34" s="192"/>
      <c r="O34" s="192"/>
      <c r="P34" s="192"/>
      <c r="Q34" s="192"/>
      <c r="R34" s="203"/>
      <c r="S34" s="203"/>
      <c r="T34" s="203"/>
      <c r="U34" s="203"/>
      <c r="V34" s="203"/>
      <c r="W34" s="203"/>
      <c r="X34" s="203"/>
      <c r="Y34" s="203"/>
      <c r="Z34" s="203"/>
      <c r="AA34" s="205"/>
      <c r="AB34" s="205"/>
      <c r="AC34" s="205"/>
      <c r="AD34" s="203"/>
      <c r="AE34" s="203"/>
      <c r="AF34" s="203"/>
      <c r="AX34" s="207" t="s">
        <v>791</v>
      </c>
    </row>
    <row r="35" spans="1:52" s="207" customFormat="1" ht="12.75" customHeight="1" thickBot="1">
      <c r="A35" s="70"/>
      <c r="B35" s="265" t="s">
        <v>101</v>
      </c>
      <c r="C35" s="1116" t="str">
        <f>IF(AX35=2,INDEX(AR43:AR46,IF(Y42&lt;=2,AX35,AX31),1),P33)</f>
        <v>  ограждающая конструция - НЕ УДОВЛЕТВОРЯЕТ -  требованиям СНиП II-03-79*</v>
      </c>
      <c r="D35" s="205"/>
      <c r="E35" s="205"/>
      <c r="F35" s="205"/>
      <c r="G35" s="280"/>
      <c r="H35" s="205"/>
      <c r="I35" s="280"/>
      <c r="J35" s="280"/>
      <c r="K35" s="206"/>
      <c r="L35" s="203"/>
      <c r="M35" s="281"/>
      <c r="N35" s="24"/>
      <c r="O35" s="24"/>
      <c r="P35" s="246"/>
      <c r="Q35" s="192"/>
      <c r="R35" s="203"/>
      <c r="S35" s="203"/>
      <c r="T35" s="203"/>
      <c r="U35" s="203"/>
      <c r="V35" s="203"/>
      <c r="W35" s="203"/>
      <c r="X35" s="203"/>
      <c r="Y35" s="203"/>
      <c r="Z35" s="264" t="s">
        <v>102</v>
      </c>
      <c r="AA35" s="282" t="s">
        <v>103</v>
      </c>
      <c r="AB35" s="282" t="s">
        <v>104</v>
      </c>
      <c r="AC35" s="203"/>
      <c r="AD35" s="203"/>
      <c r="AE35" s="203"/>
      <c r="AF35" s="203"/>
      <c r="AI35" s="589"/>
      <c r="AJ35" s="172"/>
      <c r="AM35" s="714"/>
      <c r="AX35" s="716">
        <f>IF(AND(F29&gt;=F31,F29&gt;=F32),1)+IF(AND(F29&gt;=F31,F29&lt;F32),2)+IF(AND(F29&lt;F31,F29&gt;=F32),2)+IF(AND(F29&lt;F31,F29&lt;F32),2)</f>
        <v>2</v>
      </c>
      <c r="AY35" s="590" t="s">
        <v>107</v>
      </c>
      <c r="AZ35" s="590" t="s">
        <v>106</v>
      </c>
    </row>
    <row r="36" spans="1:52" s="1243" customFormat="1" ht="12.75" customHeight="1" thickBot="1">
      <c r="A36" s="1224"/>
      <c r="C36" s="1281" t="str">
        <f>IF(AX35=1,INDEX(AR43:AR46,IF(Y42&lt;=2,AX35,AX31),1),P33)</f>
        <v>-</v>
      </c>
      <c r="O36" s="1224"/>
      <c r="P36" s="1233"/>
      <c r="Q36" s="1234"/>
      <c r="R36" s="1235"/>
      <c r="S36" s="1235"/>
      <c r="T36" s="1235"/>
      <c r="U36" s="1235"/>
      <c r="V36" s="1235"/>
      <c r="W36" s="1235"/>
      <c r="X36" s="1236"/>
      <c r="Y36" s="1236"/>
      <c r="Z36" s="1236"/>
      <c r="AA36" s="1237">
        <f>D7+7</f>
        <v>29</v>
      </c>
      <c r="AB36" s="1238">
        <f>IF(D8=50,1)+IF(D8=55,2)+IF(D8=60,3)+IF(D8=65,4)+IF(D8=70,5)</f>
        <v>4</v>
      </c>
      <c r="AC36" s="1236"/>
      <c r="AD36" s="1236"/>
      <c r="AE36" s="1236"/>
      <c r="AF36" s="1236"/>
      <c r="AG36" s="1239"/>
      <c r="AH36" s="1239"/>
      <c r="AI36" s="1240"/>
      <c r="AJ36" s="1241"/>
      <c r="AK36" s="1239"/>
      <c r="AL36" s="1239"/>
      <c r="AM36" s="1242"/>
      <c r="AN36" s="1239"/>
      <c r="AO36" s="1239"/>
      <c r="AY36" s="1244" t="s">
        <v>105</v>
      </c>
      <c r="AZ36" s="1244" t="s">
        <v>108</v>
      </c>
    </row>
    <row r="37" spans="1:39" s="207" customFormat="1" ht="12.75" customHeight="1">
      <c r="A37" s="192"/>
      <c r="B37" s="1225" t="s">
        <v>83</v>
      </c>
      <c r="C37" s="1226">
        <f>F29</f>
        <v>2.193438003220612</v>
      </c>
      <c r="D37" s="1227" t="str">
        <f>IF(F29&lt;=F31,"&lt;Ro тр1","&gt;Ro тр1")</f>
        <v>&gt;Ro тр1</v>
      </c>
      <c r="E37" s="1228">
        <f>F31</f>
        <v>1.1851851851851851</v>
      </c>
      <c r="F37" s="1229" t="s">
        <v>793</v>
      </c>
      <c r="G37" s="1230"/>
      <c r="H37" s="1231"/>
      <c r="I37" s="1225" t="s">
        <v>83</v>
      </c>
      <c r="J37" s="1226">
        <f>F29</f>
        <v>2.193438003220612</v>
      </c>
      <c r="K37" s="1227" t="str">
        <f>IF(F29&lt;=F32,"&lt;Ro тр2","&gt;Ro тр2")</f>
        <v>&lt;Ro тр2</v>
      </c>
      <c r="L37" s="1228">
        <f>F32</f>
        <v>3.325</v>
      </c>
      <c r="M37" s="1229" t="s">
        <v>793</v>
      </c>
      <c r="N37" s="1232"/>
      <c r="O37"/>
      <c r="P37" s="192"/>
      <c r="Q37" s="192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M37" s="207" t="s">
        <v>109</v>
      </c>
    </row>
    <row r="38" spans="1:39" s="207" customFormat="1" ht="12.75" customHeight="1">
      <c r="A38"/>
      <c r="B38"/>
      <c r="C38" s="1245" t="str">
        <f>INDEX(AM37:AM38,AX35,1)</f>
        <v>но удовлетворяет требованиям СНиП II-03-79* п.2.10.  так как tпов&gt;tроса</v>
      </c>
      <c r="D38"/>
      <c r="E38"/>
      <c r="F38"/>
      <c r="G38"/>
      <c r="H38" s="493"/>
      <c r="I38"/>
      <c r="J38"/>
      <c r="K38"/>
      <c r="L38"/>
      <c r="M38"/>
      <c r="N38" s="1280"/>
      <c r="O38" s="498"/>
      <c r="P38" s="192"/>
      <c r="Q38" s="192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M38" s="714" t="s">
        <v>110</v>
      </c>
    </row>
    <row r="39" spans="1:32" s="9" customFormat="1" ht="12.75" customHeight="1">
      <c r="A39" s="23"/>
      <c r="B39" s="1268" t="s">
        <v>820</v>
      </c>
      <c r="C39" s="1270">
        <v>200</v>
      </c>
      <c r="D39" s="25" t="s">
        <v>740</v>
      </c>
      <c r="E39" s="25"/>
      <c r="F39" s="25"/>
      <c r="G39" s="36"/>
      <c r="H39" s="25"/>
      <c r="I39" s="36"/>
      <c r="J39" s="36"/>
      <c r="K39" s="35"/>
      <c r="L39" s="23"/>
      <c r="M39" s="37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9" customFormat="1" ht="12.75" customHeight="1">
      <c r="A40" s="23"/>
      <c r="B40" s="1268" t="s">
        <v>821</v>
      </c>
      <c r="C40" s="1270">
        <v>80</v>
      </c>
      <c r="D40" s="25" t="s">
        <v>12</v>
      </c>
      <c r="E40" s="25"/>
      <c r="F40" s="25"/>
      <c r="G40" s="36"/>
      <c r="H40" s="25"/>
      <c r="I40" s="36"/>
      <c r="J40" s="36"/>
      <c r="K40" s="35"/>
      <c r="L40" s="23"/>
      <c r="M40" s="3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9" customFormat="1" ht="12.75" customHeight="1">
      <c r="A41" s="23"/>
      <c r="B41" s="1268"/>
      <c r="C41" s="25" t="s">
        <v>822</v>
      </c>
      <c r="D41" s="25"/>
      <c r="E41" s="25">
        <f>(INDEX(C82:C85,C81,1))/1000</f>
        <v>2.7</v>
      </c>
      <c r="F41" s="25" t="s">
        <v>838</v>
      </c>
      <c r="G41" s="1271" t="s">
        <v>61</v>
      </c>
      <c r="H41" s="25">
        <f>E41/43.3</f>
        <v>0.06235565819861433</v>
      </c>
      <c r="I41" s="36" t="s">
        <v>841</v>
      </c>
      <c r="J41" s="36"/>
      <c r="K41" s="35"/>
      <c r="L41" s="23"/>
      <c r="M41" s="37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9" customFormat="1" ht="12.75" customHeight="1">
      <c r="A42" s="23"/>
      <c r="B42" s="1268"/>
      <c r="C42" s="1292" t="s">
        <v>849</v>
      </c>
      <c r="D42" s="1292"/>
      <c r="E42" s="25">
        <v>2.3</v>
      </c>
      <c r="F42" s="25" t="s">
        <v>850</v>
      </c>
      <c r="G42" s="36"/>
      <c r="H42" s="25">
        <f>E42/43.3</f>
        <v>0.053117782909930716</v>
      </c>
      <c r="I42" s="36" t="s">
        <v>848</v>
      </c>
      <c r="J42" s="36"/>
      <c r="K42" s="35"/>
      <c r="L42" s="23"/>
      <c r="M42" s="37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2</v>
      </c>
      <c r="Z42" s="23"/>
      <c r="AA42" s="23"/>
      <c r="AB42" s="23"/>
      <c r="AC42" s="23"/>
      <c r="AD42" s="23"/>
      <c r="AE42" s="23"/>
      <c r="AF42" s="23"/>
    </row>
    <row r="43" spans="1:47" s="9" customFormat="1" ht="12.75" customHeight="1">
      <c r="A43" s="23"/>
      <c r="B43" s="25" t="s">
        <v>825</v>
      </c>
      <c r="C43" s="25"/>
      <c r="D43" s="25"/>
      <c r="E43" s="25"/>
      <c r="F43" s="1278">
        <f>((C67*C61)/1000)*C39</f>
        <v>11932.609885289528</v>
      </c>
      <c r="G43" s="36" t="s">
        <v>826</v>
      </c>
      <c r="H43" s="25"/>
      <c r="I43" s="36"/>
      <c r="J43" s="36"/>
      <c r="K43" s="35"/>
      <c r="L43" s="23"/>
      <c r="M43" s="3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 t="s">
        <v>761</v>
      </c>
      <c r="Z43" s="23"/>
      <c r="AA43" s="23"/>
      <c r="AB43" s="23"/>
      <c r="AC43" s="23"/>
      <c r="AD43" s="23"/>
      <c r="AE43" s="23"/>
      <c r="AF43" s="23"/>
      <c r="AI43" s="589" t="s">
        <v>786</v>
      </c>
      <c r="AJ43" s="172"/>
      <c r="AK43" s="207"/>
      <c r="AL43" s="207"/>
      <c r="AN43" s="207"/>
      <c r="AO43" s="207"/>
      <c r="AP43" s="207"/>
      <c r="AQ43" s="207"/>
      <c r="AR43" s="1282" t="s">
        <v>788</v>
      </c>
      <c r="AS43" s="207"/>
      <c r="AT43" s="207"/>
      <c r="AU43" s="207"/>
    </row>
    <row r="44" spans="1:47" s="9" customFormat="1" ht="12.75" customHeight="1">
      <c r="A44" s="23"/>
      <c r="B44" s="25" t="s">
        <v>827</v>
      </c>
      <c r="C44" s="25"/>
      <c r="D44" s="25"/>
      <c r="E44" s="25"/>
      <c r="F44" s="1278">
        <f>F43/((C66*C40)/100)</f>
        <v>1639.0947644628473</v>
      </c>
      <c r="G44" s="36" t="s">
        <v>810</v>
      </c>
      <c r="H44" s="1276" t="s">
        <v>61</v>
      </c>
      <c r="I44" s="1279">
        <f>F44*E41</f>
        <v>4425.555864049687</v>
      </c>
      <c r="J44" s="36" t="s">
        <v>839</v>
      </c>
      <c r="K44" s="1277" t="s">
        <v>61</v>
      </c>
      <c r="L44" s="37">
        <f>F44*H41</f>
        <v>102.20683288798357</v>
      </c>
      <c r="M44" s="37" t="s">
        <v>840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 t="s">
        <v>836</v>
      </c>
      <c r="Z44" s="23"/>
      <c r="AA44" s="23"/>
      <c r="AB44" s="23"/>
      <c r="AC44" s="23"/>
      <c r="AD44" s="23"/>
      <c r="AE44" s="23"/>
      <c r="AF44" s="23"/>
      <c r="AI44" s="589" t="s">
        <v>786</v>
      </c>
      <c r="AJ44" s="172"/>
      <c r="AK44" s="207"/>
      <c r="AL44" s="207"/>
      <c r="AN44" s="207"/>
      <c r="AO44" s="207"/>
      <c r="AP44" s="207"/>
      <c r="AQ44" s="207"/>
      <c r="AR44" s="1282" t="s">
        <v>835</v>
      </c>
      <c r="AS44" s="207"/>
      <c r="AT44" s="207"/>
      <c r="AU44" s="207"/>
    </row>
    <row r="45" spans="1:44" s="9" customFormat="1" ht="12.75" customHeight="1">
      <c r="A45" s="23"/>
      <c r="B45" s="1291" t="s">
        <v>847</v>
      </c>
      <c r="C45" s="1291"/>
      <c r="D45" s="1291"/>
      <c r="E45" s="1291"/>
      <c r="F45" s="25">
        <f>F43*1.05</f>
        <v>12529.240379554005</v>
      </c>
      <c r="G45" s="36" t="s">
        <v>850</v>
      </c>
      <c r="H45" s="25"/>
      <c r="I45" s="1279">
        <f>F45*E42</f>
        <v>28817.252872974208</v>
      </c>
      <c r="J45" s="36" t="s">
        <v>839</v>
      </c>
      <c r="K45" s="1277" t="s">
        <v>61</v>
      </c>
      <c r="L45" s="37">
        <f>F45*H42</f>
        <v>665.5254705074875</v>
      </c>
      <c r="M45" s="37" t="s">
        <v>840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 t="s">
        <v>762</v>
      </c>
      <c r="Z45" s="23"/>
      <c r="AA45" s="23"/>
      <c r="AB45" s="23"/>
      <c r="AC45" s="23"/>
      <c r="AD45" s="23"/>
      <c r="AE45" s="23"/>
      <c r="AF45" s="23"/>
      <c r="AI45" s="9" t="s">
        <v>787</v>
      </c>
      <c r="AR45" s="1282" t="s">
        <v>789</v>
      </c>
    </row>
    <row r="46" spans="1:44" s="9" customFormat="1" ht="12.75" customHeight="1">
      <c r="A46" s="23"/>
      <c r="B46" s="1291" t="s">
        <v>852</v>
      </c>
      <c r="C46" s="1291"/>
      <c r="D46" s="1291"/>
      <c r="E46" s="1291"/>
      <c r="F46" s="25">
        <f>F43/4</f>
        <v>2983.152471322382</v>
      </c>
      <c r="G46" s="36" t="s">
        <v>850</v>
      </c>
      <c r="H46" s="25"/>
      <c r="I46" s="1279">
        <f>F46*E42</f>
        <v>6861.250684041478</v>
      </c>
      <c r="J46" s="36" t="s">
        <v>839</v>
      </c>
      <c r="K46" s="35"/>
      <c r="L46" s="37">
        <f>F46*H42</f>
        <v>158.45844535892562</v>
      </c>
      <c r="M46" s="37" t="s">
        <v>840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 t="s">
        <v>763</v>
      </c>
      <c r="Z46" s="23"/>
      <c r="AA46" s="23"/>
      <c r="AB46" s="23"/>
      <c r="AC46" s="23"/>
      <c r="AD46" s="23"/>
      <c r="AE46" s="23"/>
      <c r="AF46" s="23"/>
      <c r="AI46" s="9" t="s">
        <v>787</v>
      </c>
      <c r="AR46" s="1282" t="s">
        <v>790</v>
      </c>
    </row>
    <row r="47" spans="1:35" s="9" customFormat="1" ht="12.75" customHeight="1">
      <c r="A47" s="23"/>
      <c r="B47" s="25"/>
      <c r="C47" s="25"/>
      <c r="D47" s="25"/>
      <c r="E47" s="25"/>
      <c r="F47" s="25"/>
      <c r="G47" s="36"/>
      <c r="H47" s="25"/>
      <c r="I47" s="36"/>
      <c r="J47" s="432"/>
      <c r="K47" s="35"/>
      <c r="L47" s="23"/>
      <c r="M47" s="37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 t="s">
        <v>764</v>
      </c>
      <c r="Z47" s="23"/>
      <c r="AA47" s="23"/>
      <c r="AB47" s="23"/>
      <c r="AC47" s="23"/>
      <c r="AD47" s="23"/>
      <c r="AE47" s="23"/>
      <c r="AF47" s="23"/>
      <c r="AI47" s="9" t="s">
        <v>787</v>
      </c>
    </row>
    <row r="48" spans="1:35" s="9" customFormat="1" ht="12.75" customHeight="1">
      <c r="A48" s="23"/>
      <c r="B48" s="25"/>
      <c r="C48" s="25"/>
      <c r="D48" s="25"/>
      <c r="E48" s="25"/>
      <c r="F48" s="25"/>
      <c r="G48" s="36"/>
      <c r="H48" s="25"/>
      <c r="I48" s="36"/>
      <c r="J48" s="36"/>
      <c r="K48" s="35"/>
      <c r="L48" s="23"/>
      <c r="M48" s="37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 t="s">
        <v>765</v>
      </c>
      <c r="AI48" s="9" t="s">
        <v>787</v>
      </c>
    </row>
    <row r="49" spans="2:35" s="9" customFormat="1" ht="12.75" customHeight="1">
      <c r="B49" s="12"/>
      <c r="C49" s="12"/>
      <c r="D49" s="12"/>
      <c r="E49" s="12"/>
      <c r="F49" s="12"/>
      <c r="G49" s="13"/>
      <c r="H49" s="12"/>
      <c r="I49" s="13"/>
      <c r="J49" s="13"/>
      <c r="K49" s="86"/>
      <c r="M49" s="11"/>
      <c r="Y49" s="23" t="s">
        <v>766</v>
      </c>
      <c r="AI49" s="9" t="s">
        <v>787</v>
      </c>
    </row>
    <row r="50" spans="2:35" s="9" customFormat="1" ht="12.75" customHeight="1">
      <c r="B50" s="12"/>
      <c r="C50" s="12"/>
      <c r="D50" s="12"/>
      <c r="E50" s="12"/>
      <c r="F50" s="12"/>
      <c r="G50" s="13"/>
      <c r="H50" s="12"/>
      <c r="I50" s="13"/>
      <c r="J50" s="13"/>
      <c r="K50" s="86"/>
      <c r="M50" s="11"/>
      <c r="Y50" s="23" t="s">
        <v>767</v>
      </c>
      <c r="AI50" s="9" t="s">
        <v>787</v>
      </c>
    </row>
    <row r="51" spans="2:25" s="9" customFormat="1" ht="12.75" customHeight="1">
      <c r="B51" s="12"/>
      <c r="C51" s="12"/>
      <c r="D51" s="12"/>
      <c r="E51" s="12"/>
      <c r="F51" s="12"/>
      <c r="G51" s="13"/>
      <c r="H51" s="12"/>
      <c r="I51" s="13"/>
      <c r="J51" s="13"/>
      <c r="K51" s="86"/>
      <c r="M51" s="11"/>
      <c r="Y51" s="23"/>
    </row>
    <row r="52" spans="2:13" s="9" customFormat="1" ht="12.75" customHeight="1">
      <c r="B52" s="12"/>
      <c r="C52" s="12"/>
      <c r="D52" s="12"/>
      <c r="E52" s="12"/>
      <c r="F52" s="12"/>
      <c r="G52" s="13"/>
      <c r="H52" s="12"/>
      <c r="I52" s="13"/>
      <c r="J52" s="13"/>
      <c r="K52" s="86"/>
      <c r="M52" s="11"/>
    </row>
    <row r="53" spans="2:13" s="9" customFormat="1" ht="12.75" customHeight="1">
      <c r="B53" s="12"/>
      <c r="C53" s="12"/>
      <c r="D53" s="12"/>
      <c r="E53" s="12"/>
      <c r="F53" s="12"/>
      <c r="G53" s="13"/>
      <c r="H53" s="12"/>
      <c r="I53" s="13"/>
      <c r="J53" s="13"/>
      <c r="K53" s="86"/>
      <c r="M53" s="11"/>
    </row>
    <row r="54" spans="2:13" s="9" customFormat="1" ht="12.75" customHeight="1">
      <c r="B54" s="12"/>
      <c r="C54" s="12"/>
      <c r="D54" s="12"/>
      <c r="E54" s="12"/>
      <c r="F54" s="12"/>
      <c r="G54" s="13"/>
      <c r="H54" s="12"/>
      <c r="I54" s="13"/>
      <c r="J54" s="13"/>
      <c r="K54" s="86"/>
      <c r="M54" s="11"/>
    </row>
    <row r="55" spans="2:13" s="9" customFormat="1" ht="12.75" customHeight="1">
      <c r="B55" s="12"/>
      <c r="C55" s="12"/>
      <c r="D55" s="12"/>
      <c r="E55" s="12"/>
      <c r="F55" s="12"/>
      <c r="G55" s="13"/>
      <c r="H55" s="12"/>
      <c r="I55" s="13"/>
      <c r="J55" s="13"/>
      <c r="K55" s="86"/>
      <c r="M55" s="11"/>
    </row>
    <row r="56" spans="2:13" s="9" customFormat="1" ht="12.75" customHeight="1">
      <c r="B56" s="12"/>
      <c r="C56" s="12"/>
      <c r="D56" s="12"/>
      <c r="E56" s="12"/>
      <c r="F56" s="12"/>
      <c r="G56" s="13"/>
      <c r="H56" s="12"/>
      <c r="I56" s="13"/>
      <c r="J56" s="13"/>
      <c r="K56" s="86"/>
      <c r="M56" s="11"/>
    </row>
    <row r="57" spans="2:13" s="9" customFormat="1" ht="12.75" customHeight="1">
      <c r="B57" s="12"/>
      <c r="C57" s="12"/>
      <c r="D57" s="12"/>
      <c r="E57" s="12"/>
      <c r="F57" s="12"/>
      <c r="G57" s="13"/>
      <c r="H57" s="12"/>
      <c r="I57" s="13"/>
      <c r="J57" s="13"/>
      <c r="K57" s="86"/>
      <c r="M57" s="11"/>
    </row>
    <row r="58" spans="2:13" s="9" customFormat="1" ht="12.75" customHeight="1">
      <c r="B58" s="12"/>
      <c r="C58" s="12"/>
      <c r="D58" s="12"/>
      <c r="E58" s="12"/>
      <c r="F58" s="12"/>
      <c r="G58" s="13"/>
      <c r="H58" s="12"/>
      <c r="I58" s="13"/>
      <c r="J58" s="13"/>
      <c r="K58" s="86"/>
      <c r="M58" s="11"/>
    </row>
    <row r="59" spans="2:13" s="9" customFormat="1" ht="12.75" customHeight="1">
      <c r="B59" s="12"/>
      <c r="C59" s="12"/>
      <c r="D59" s="12"/>
      <c r="E59" s="12"/>
      <c r="F59" s="12"/>
      <c r="G59" s="13"/>
      <c r="H59" s="12"/>
      <c r="I59" s="13"/>
      <c r="J59" s="13"/>
      <c r="K59" s="86"/>
      <c r="M59" s="11"/>
    </row>
    <row r="60" spans="1:13" s="9" customFormat="1" ht="12.75" customHeight="1">
      <c r="A60"/>
      <c r="B60" s="1258"/>
      <c r="C60"/>
      <c r="D60"/>
      <c r="E60"/>
      <c r="F60" s="1152"/>
      <c r="G60"/>
      <c r="H60"/>
      <c r="I60"/>
      <c r="J60"/>
      <c r="K60" s="86"/>
      <c r="M60" s="11"/>
    </row>
    <row r="61" spans="1:13" s="9" customFormat="1" ht="12.75" customHeight="1">
      <c r="A61"/>
      <c r="B61" t="s">
        <v>799</v>
      </c>
      <c r="C61" s="1275">
        <f>M9*24</f>
        <v>5112</v>
      </c>
      <c r="D61" t="s">
        <v>800</v>
      </c>
      <c r="E61"/>
      <c r="F61" s="1152"/>
      <c r="G61"/>
      <c r="H61"/>
      <c r="I61"/>
      <c r="J61"/>
      <c r="K61" s="86"/>
      <c r="M61" s="11"/>
    </row>
    <row r="62" spans="1:21" s="9" customFormat="1" ht="12.75" customHeight="1">
      <c r="A62"/>
      <c r="B62" t="s">
        <v>801</v>
      </c>
      <c r="C62" s="1259">
        <f>M8</f>
        <v>-3.6</v>
      </c>
      <c r="D62" t="s">
        <v>802</v>
      </c>
      <c r="E62"/>
      <c r="F62" s="1152"/>
      <c r="G62"/>
      <c r="H62"/>
      <c r="I62"/>
      <c r="J62"/>
      <c r="K62" s="1265"/>
      <c r="M62" s="11"/>
      <c r="T62" s="1265"/>
      <c r="U62" s="1266"/>
    </row>
    <row r="63" spans="1:21" s="9" customFormat="1" ht="12.75" customHeight="1">
      <c r="A63"/>
      <c r="B63" t="s">
        <v>803</v>
      </c>
      <c r="C63" s="1259">
        <f>D7</f>
        <v>22</v>
      </c>
      <c r="D63" t="s">
        <v>802</v>
      </c>
      <c r="E63"/>
      <c r="F63" s="1152"/>
      <c r="G63"/>
      <c r="H63"/>
      <c r="I63"/>
      <c r="J63"/>
      <c r="K63" s="1213"/>
      <c r="M63" s="11"/>
      <c r="T63" s="1213"/>
      <c r="U63" s="1266"/>
    </row>
    <row r="64" spans="1:21" s="9" customFormat="1" ht="12.75" customHeight="1">
      <c r="A64"/>
      <c r="B64" t="s">
        <v>804</v>
      </c>
      <c r="C64" s="1259">
        <f>+C63-C62</f>
        <v>25.6</v>
      </c>
      <c r="D64" t="s">
        <v>802</v>
      </c>
      <c r="E64"/>
      <c r="F64" s="1152"/>
      <c r="G64"/>
      <c r="H64"/>
      <c r="I64"/>
      <c r="J64"/>
      <c r="K64" s="1265"/>
      <c r="M64" s="11"/>
      <c r="T64" s="1265"/>
      <c r="U64" s="1266"/>
    </row>
    <row r="65" spans="1:21" s="9" customFormat="1" ht="12.75" customHeight="1">
      <c r="A65"/>
      <c r="B65" t="s">
        <v>805</v>
      </c>
      <c r="C65" s="1259">
        <f>F29</f>
        <v>2.193438003220612</v>
      </c>
      <c r="D65" s="1261" t="s">
        <v>806</v>
      </c>
      <c r="E65"/>
      <c r="F65" s="1152"/>
      <c r="G65"/>
      <c r="H65"/>
      <c r="I65"/>
      <c r="J65"/>
      <c r="K65" s="1213"/>
      <c r="M65" s="11"/>
      <c r="T65" s="1213"/>
      <c r="U65" s="1266"/>
    </row>
    <row r="66" spans="1:13" s="9" customFormat="1" ht="12.75" customHeight="1">
      <c r="A66"/>
      <c r="B66" s="1262" t="s">
        <v>823</v>
      </c>
      <c r="C66" s="1273">
        <v>9.1</v>
      </c>
      <c r="D66" t="s">
        <v>809</v>
      </c>
      <c r="F66" s="1272" t="s">
        <v>824</v>
      </c>
      <c r="G66" s="1267"/>
      <c r="H66"/>
      <c r="I66"/>
      <c r="J66"/>
      <c r="K66" s="86"/>
      <c r="M66" s="11"/>
    </row>
    <row r="67" spans="1:21" s="9" customFormat="1" ht="12.75" customHeight="1">
      <c r="A67"/>
      <c r="B67" t="s">
        <v>807</v>
      </c>
      <c r="C67" s="1274">
        <f>+C64/C65</f>
        <v>11.671175552904469</v>
      </c>
      <c r="D67" t="s">
        <v>808</v>
      </c>
      <c r="E67"/>
      <c r="F67" s="1152"/>
      <c r="G67"/>
      <c r="H67"/>
      <c r="I67"/>
      <c r="J67"/>
      <c r="K67" s="86"/>
      <c r="M67" s="11"/>
      <c r="U67" s="1266"/>
    </row>
    <row r="68" spans="8:21" s="9" customFormat="1" ht="12.75" customHeight="1">
      <c r="H68"/>
      <c r="I68"/>
      <c r="J68"/>
      <c r="K68" s="1265"/>
      <c r="M68" s="11"/>
      <c r="T68" s="1265"/>
      <c r="U68" s="1266"/>
    </row>
    <row r="70" spans="1:13" s="9" customFormat="1" ht="12.75" customHeight="1">
      <c r="A70"/>
      <c r="B70" s="1262"/>
      <c r="C70" s="1260"/>
      <c r="D70"/>
      <c r="E70" s="1263"/>
      <c r="F70" s="1152"/>
      <c r="G70"/>
      <c r="H70"/>
      <c r="I70"/>
      <c r="J70"/>
      <c r="K70" s="86"/>
      <c r="M70" s="11"/>
    </row>
    <row r="71" spans="1:13" s="9" customFormat="1" ht="12.75" customHeight="1">
      <c r="A71"/>
      <c r="B71"/>
      <c r="C71" s="1152"/>
      <c r="D71"/>
      <c r="E71"/>
      <c r="F71" s="1152"/>
      <c r="G71"/>
      <c r="H71"/>
      <c r="I71"/>
      <c r="J71"/>
      <c r="K71" s="86"/>
      <c r="M71" s="11"/>
    </row>
    <row r="72" spans="1:13" s="9" customFormat="1" ht="12.75" customHeight="1">
      <c r="A72"/>
      <c r="B72"/>
      <c r="C72" s="1152"/>
      <c r="D72"/>
      <c r="E72"/>
      <c r="F72" s="1152"/>
      <c r="G72"/>
      <c r="H72"/>
      <c r="I72"/>
      <c r="J72"/>
      <c r="K72" s="86"/>
      <c r="M72" s="11"/>
    </row>
    <row r="73" spans="1:13" s="9" customFormat="1" ht="12.75" customHeight="1">
      <c r="A73"/>
      <c r="B73" s="1262"/>
      <c r="C73" s="1152"/>
      <c r="D73"/>
      <c r="E73"/>
      <c r="F73" s="1152"/>
      <c r="G73"/>
      <c r="H73"/>
      <c r="I73"/>
      <c r="J73"/>
      <c r="K73" s="86"/>
      <c r="M73" s="11"/>
    </row>
    <row r="74" spans="1:13" s="9" customFormat="1" ht="12.75" customHeight="1">
      <c r="A74"/>
      <c r="B74"/>
      <c r="C74" s="1152"/>
      <c r="D74"/>
      <c r="E74"/>
      <c r="F74" s="1152"/>
      <c r="G74"/>
      <c r="H74"/>
      <c r="I74"/>
      <c r="J74"/>
      <c r="K74" s="86"/>
      <c r="M74" s="11"/>
    </row>
    <row r="75" spans="1:13" s="9" customFormat="1" ht="12.75" customHeight="1">
      <c r="A75"/>
      <c r="B75"/>
      <c r="C75" s="1152"/>
      <c r="D75"/>
      <c r="E75"/>
      <c r="F75" s="1152"/>
      <c r="G75"/>
      <c r="H75"/>
      <c r="I75"/>
      <c r="J75"/>
      <c r="K75" s="86"/>
      <c r="M75" s="11"/>
    </row>
    <row r="76" spans="1:13" s="9" customFormat="1" ht="12.75" customHeight="1">
      <c r="A76"/>
      <c r="B76"/>
      <c r="C76" s="1152"/>
      <c r="D76"/>
      <c r="E76"/>
      <c r="F76" s="1152"/>
      <c r="G76"/>
      <c r="H76"/>
      <c r="I76"/>
      <c r="J76"/>
      <c r="K76" s="86"/>
      <c r="M76" s="11"/>
    </row>
    <row r="77" spans="1:13" s="9" customFormat="1" ht="12.75" customHeight="1">
      <c r="A77"/>
      <c r="B77"/>
      <c r="C77" s="1152"/>
      <c r="D77"/>
      <c r="E77"/>
      <c r="F77" s="1152"/>
      <c r="G77"/>
      <c r="H77"/>
      <c r="I77"/>
      <c r="J77"/>
      <c r="K77" s="86"/>
      <c r="M77" s="11"/>
    </row>
    <row r="78" spans="1:13" s="9" customFormat="1" ht="12.75" customHeight="1">
      <c r="A78"/>
      <c r="B78"/>
      <c r="C78" s="1152"/>
      <c r="D78"/>
      <c r="E78"/>
      <c r="F78" s="1152"/>
      <c r="G78"/>
      <c r="H78"/>
      <c r="I78"/>
      <c r="J78"/>
      <c r="K78" s="86"/>
      <c r="M78" s="11"/>
    </row>
    <row r="79" spans="1:13" s="9" customFormat="1" ht="12.75" customHeight="1">
      <c r="A79"/>
      <c r="B79"/>
      <c r="C79" s="1152"/>
      <c r="D79"/>
      <c r="E79"/>
      <c r="F79" s="1152"/>
      <c r="G79"/>
      <c r="H79"/>
      <c r="I79"/>
      <c r="J79"/>
      <c r="K79" s="86"/>
      <c r="M79" s="11"/>
    </row>
    <row r="80" spans="1:13" s="9" customFormat="1" ht="12.75" customHeight="1">
      <c r="A80"/>
      <c r="B80"/>
      <c r="C80" s="1152"/>
      <c r="D80" s="1152"/>
      <c r="E80"/>
      <c r="F80" s="1152"/>
      <c r="G80"/>
      <c r="H80"/>
      <c r="I80"/>
      <c r="J80"/>
      <c r="K80" s="86"/>
      <c r="M80" s="11"/>
    </row>
    <row r="81" spans="1:13" s="9" customFormat="1" ht="12.75" customHeight="1">
      <c r="A81"/>
      <c r="B81"/>
      <c r="C81" s="1152">
        <v>1</v>
      </c>
      <c r="D81" s="1152"/>
      <c r="E81"/>
      <c r="F81" s="1152"/>
      <c r="G81"/>
      <c r="H81"/>
      <c r="I81"/>
      <c r="J81"/>
      <c r="K81" s="86"/>
      <c r="M81" s="11"/>
    </row>
    <row r="82" spans="1:13" s="9" customFormat="1" ht="12.75" customHeight="1">
      <c r="A82"/>
      <c r="B82" s="1269" t="s">
        <v>851</v>
      </c>
      <c r="C82" s="1267">
        <v>2700</v>
      </c>
      <c r="D82" s="1152" t="s">
        <v>843</v>
      </c>
      <c r="E82"/>
      <c r="F82" s="1152"/>
      <c r="G82"/>
      <c r="H82"/>
      <c r="I82"/>
      <c r="J82"/>
      <c r="K82" s="86"/>
      <c r="M82" s="11"/>
    </row>
    <row r="83" spans="1:13" s="9" customFormat="1" ht="12.75" customHeight="1">
      <c r="A83"/>
      <c r="B83" s="1269" t="s">
        <v>828</v>
      </c>
      <c r="C83" s="1267">
        <v>2700</v>
      </c>
      <c r="D83" s="1152"/>
      <c r="E83"/>
      <c r="F83" s="1152"/>
      <c r="G83"/>
      <c r="H83"/>
      <c r="I83"/>
      <c r="J83"/>
      <c r="K83" s="86"/>
      <c r="M83" s="11"/>
    </row>
    <row r="84" spans="1:13" s="9" customFormat="1" ht="12.75" customHeight="1">
      <c r="A84"/>
      <c r="B84" s="1269" t="s">
        <v>829</v>
      </c>
      <c r="C84" s="1267">
        <v>2700</v>
      </c>
      <c r="D84" s="1152"/>
      <c r="E84"/>
      <c r="F84" s="1152"/>
      <c r="G84"/>
      <c r="H84"/>
      <c r="I84"/>
      <c r="J84"/>
      <c r="K84" s="86"/>
      <c r="M84" s="11"/>
    </row>
    <row r="85" spans="1:13" s="9" customFormat="1" ht="12.75" customHeight="1">
      <c r="A85"/>
      <c r="B85" s="1269" t="s">
        <v>830</v>
      </c>
      <c r="C85" s="1267">
        <v>2700</v>
      </c>
      <c r="D85" s="1152"/>
      <c r="E85"/>
      <c r="F85" s="1152"/>
      <c r="G85"/>
      <c r="H85"/>
      <c r="I85"/>
      <c r="J85"/>
      <c r="K85" s="86"/>
      <c r="M85" s="11"/>
    </row>
    <row r="86" spans="1:13" s="9" customFormat="1" ht="12.75" customHeight="1">
      <c r="A86"/>
      <c r="B86"/>
      <c r="C86" s="1152"/>
      <c r="D86"/>
      <c r="E86"/>
      <c r="F86" s="1152"/>
      <c r="G86"/>
      <c r="H86"/>
      <c r="I86"/>
      <c r="J86"/>
      <c r="K86" s="86"/>
      <c r="M86" s="11"/>
    </row>
    <row r="87" spans="1:13" s="9" customFormat="1" ht="12.75" customHeight="1">
      <c r="A87"/>
      <c r="B87"/>
      <c r="C87" s="1152"/>
      <c r="D87"/>
      <c r="E87"/>
      <c r="F87" s="1152"/>
      <c r="G87"/>
      <c r="H87"/>
      <c r="I87"/>
      <c r="J87"/>
      <c r="K87" s="86"/>
      <c r="M87" s="11"/>
    </row>
    <row r="88" spans="1:13" s="9" customFormat="1" ht="12.75" customHeight="1">
      <c r="A88"/>
      <c r="B88"/>
      <c r="C88" s="1152"/>
      <c r="D88"/>
      <c r="E88"/>
      <c r="F88" s="1152"/>
      <c r="G88"/>
      <c r="H88"/>
      <c r="I88"/>
      <c r="J88"/>
      <c r="K88" s="86"/>
      <c r="M88" s="11"/>
    </row>
    <row r="89" spans="1:13" s="9" customFormat="1" ht="12.75" customHeight="1">
      <c r="A89"/>
      <c r="B89"/>
      <c r="C89" s="1152"/>
      <c r="D89"/>
      <c r="E89"/>
      <c r="F89" s="1152"/>
      <c r="G89"/>
      <c r="H89"/>
      <c r="I89"/>
      <c r="J89"/>
      <c r="K89" s="86"/>
      <c r="M89" s="11"/>
    </row>
    <row r="90" spans="1:13" s="9" customFormat="1" ht="12.75" customHeight="1">
      <c r="A90"/>
      <c r="B90"/>
      <c r="C90"/>
      <c r="D90"/>
      <c r="E90"/>
      <c r="F90" s="1152"/>
      <c r="G90"/>
      <c r="H90"/>
      <c r="I90"/>
      <c r="J90"/>
      <c r="K90" s="86"/>
      <c r="M90" s="11"/>
    </row>
    <row r="91" spans="1:13" s="9" customFormat="1" ht="12.75" customHeight="1">
      <c r="A91"/>
      <c r="B91" s="1288" t="s">
        <v>842</v>
      </c>
      <c r="C91"/>
      <c r="D91"/>
      <c r="E91"/>
      <c r="F91" s="1152"/>
      <c r="G91"/>
      <c r="H91"/>
      <c r="I91"/>
      <c r="J91"/>
      <c r="K91" s="86"/>
      <c r="M91" s="11"/>
    </row>
    <row r="92" spans="1:13" s="9" customFormat="1" ht="12.75" customHeight="1">
      <c r="A92"/>
      <c r="B92"/>
      <c r="C92"/>
      <c r="D92"/>
      <c r="E92"/>
      <c r="F92" s="1152"/>
      <c r="G92"/>
      <c r="H92"/>
      <c r="I92"/>
      <c r="J92"/>
      <c r="K92" s="86"/>
      <c r="M92" s="11"/>
    </row>
    <row r="93" spans="1:13" s="9" customFormat="1" ht="12.75" customHeight="1">
      <c r="A93"/>
      <c r="B93" s="1264" t="s">
        <v>811</v>
      </c>
      <c r="C93"/>
      <c r="D93"/>
      <c r="E93"/>
      <c r="F93" s="1152"/>
      <c r="G93"/>
      <c r="H93"/>
      <c r="I93"/>
      <c r="J93"/>
      <c r="K93" s="86"/>
      <c r="M93" s="11"/>
    </row>
    <row r="94" spans="1:13" s="9" customFormat="1" ht="12.75" customHeight="1">
      <c r="A94"/>
      <c r="B94" s="1264" t="s">
        <v>812</v>
      </c>
      <c r="C94"/>
      <c r="D94"/>
      <c r="E94"/>
      <c r="F94" s="1152"/>
      <c r="G94"/>
      <c r="H94"/>
      <c r="I94"/>
      <c r="J94"/>
      <c r="K94" s="86"/>
      <c r="M94" s="11"/>
    </row>
    <row r="95" spans="1:13" s="9" customFormat="1" ht="12.75" customHeight="1">
      <c r="A95"/>
      <c r="B95" s="1213"/>
      <c r="C95"/>
      <c r="D95"/>
      <c r="E95"/>
      <c r="F95" s="1152"/>
      <c r="G95"/>
      <c r="H95"/>
      <c r="I95"/>
      <c r="J95"/>
      <c r="K95" s="86"/>
      <c r="M95" s="11"/>
    </row>
    <row r="96" spans="1:13" s="9" customFormat="1" ht="12.75" customHeight="1">
      <c r="A96"/>
      <c r="B96" s="1264" t="s">
        <v>813</v>
      </c>
      <c r="C96"/>
      <c r="D96"/>
      <c r="E96"/>
      <c r="F96" s="1152"/>
      <c r="G96"/>
      <c r="H96"/>
      <c r="I96"/>
      <c r="J96"/>
      <c r="K96" s="86"/>
      <c r="M96" s="11"/>
    </row>
    <row r="97" spans="1:13" s="9" customFormat="1" ht="12.75" customHeight="1">
      <c r="A97"/>
      <c r="B97" s="1213"/>
      <c r="C97"/>
      <c r="D97"/>
      <c r="E97"/>
      <c r="F97" s="1152"/>
      <c r="G97"/>
      <c r="H97"/>
      <c r="I97"/>
      <c r="J97"/>
      <c r="K97" s="86"/>
      <c r="M97" s="11"/>
    </row>
    <row r="98" spans="1:13" s="9" customFormat="1" ht="12.75" customHeight="1">
      <c r="A98"/>
      <c r="B98" s="1264" t="s">
        <v>814</v>
      </c>
      <c r="C98"/>
      <c r="D98"/>
      <c r="E98"/>
      <c r="F98" s="1152"/>
      <c r="G98"/>
      <c r="H98"/>
      <c r="I98"/>
      <c r="J98"/>
      <c r="K98" s="86"/>
      <c r="M98" s="11"/>
    </row>
    <row r="99" spans="1:13" s="9" customFormat="1" ht="12.75" customHeight="1">
      <c r="A99"/>
      <c r="B99" s="1213"/>
      <c r="C99"/>
      <c r="D99"/>
      <c r="E99"/>
      <c r="F99" s="1152"/>
      <c r="G99"/>
      <c r="H99"/>
      <c r="I99"/>
      <c r="J99"/>
      <c r="K99" s="86"/>
      <c r="M99" s="11"/>
    </row>
    <row r="100" spans="1:13" s="9" customFormat="1" ht="12.75" customHeight="1">
      <c r="A100"/>
      <c r="B100" s="1265" t="s">
        <v>815</v>
      </c>
      <c r="C100"/>
      <c r="D100"/>
      <c r="E100"/>
      <c r="F100" s="1152"/>
      <c r="G100"/>
      <c r="H100"/>
      <c r="I100"/>
      <c r="J100"/>
      <c r="K100" s="86"/>
      <c r="M100" s="11"/>
    </row>
    <row r="101" spans="1:13" s="9" customFormat="1" ht="12.75" customHeight="1">
      <c r="A101"/>
      <c r="B101" s="1213"/>
      <c r="C101"/>
      <c r="D101"/>
      <c r="E101"/>
      <c r="F101" s="1152"/>
      <c r="G101"/>
      <c r="H101"/>
      <c r="I101"/>
      <c r="J101"/>
      <c r="K101" s="86"/>
      <c r="M101" s="11"/>
    </row>
    <row r="102" spans="1:13" s="9" customFormat="1" ht="12.75" customHeight="1">
      <c r="A102"/>
      <c r="B102" s="1265" t="s">
        <v>816</v>
      </c>
      <c r="C102"/>
      <c r="D102"/>
      <c r="E102"/>
      <c r="F102" s="1152"/>
      <c r="G102"/>
      <c r="H102"/>
      <c r="I102"/>
      <c r="J102"/>
      <c r="K102" s="86"/>
      <c r="M102" s="11"/>
    </row>
    <row r="103" spans="1:13" s="9" customFormat="1" ht="12.75" customHeight="1">
      <c r="A103"/>
      <c r="B103" s="1213"/>
      <c r="C103"/>
      <c r="D103"/>
      <c r="E103"/>
      <c r="F103" s="1152"/>
      <c r="G103"/>
      <c r="H103"/>
      <c r="I103"/>
      <c r="J103"/>
      <c r="K103" s="86"/>
      <c r="M103" s="11"/>
    </row>
    <row r="104" spans="1:13" s="9" customFormat="1" ht="12.75" customHeight="1">
      <c r="A104"/>
      <c r="B104" s="1265" t="s">
        <v>817</v>
      </c>
      <c r="C104"/>
      <c r="D104"/>
      <c r="E104"/>
      <c r="F104" s="1152"/>
      <c r="G104"/>
      <c r="H104"/>
      <c r="I104"/>
      <c r="J104"/>
      <c r="K104" s="86"/>
      <c r="M104" s="11"/>
    </row>
    <row r="105" spans="1:13" s="9" customFormat="1" ht="12.75" customHeight="1">
      <c r="A105"/>
      <c r="B105" s="1213"/>
      <c r="C105"/>
      <c r="D105"/>
      <c r="E105"/>
      <c r="F105" s="1152"/>
      <c r="G105"/>
      <c r="H105"/>
      <c r="I105"/>
      <c r="J105"/>
      <c r="K105" s="86"/>
      <c r="M105" s="11"/>
    </row>
    <row r="106" spans="1:13" s="9" customFormat="1" ht="12.75" customHeight="1">
      <c r="A106"/>
      <c r="B106" s="1265" t="s">
        <v>818</v>
      </c>
      <c r="C106"/>
      <c r="D106"/>
      <c r="E106"/>
      <c r="F106" s="1152"/>
      <c r="G106"/>
      <c r="H106"/>
      <c r="I106"/>
      <c r="J106"/>
      <c r="K106" s="86"/>
      <c r="M106" s="11"/>
    </row>
    <row r="107" spans="1:13" s="9" customFormat="1" ht="12.75" customHeight="1">
      <c r="A107"/>
      <c r="B107" s="1213"/>
      <c r="C107"/>
      <c r="D107"/>
      <c r="E107"/>
      <c r="F107" s="1152"/>
      <c r="G107"/>
      <c r="H107"/>
      <c r="I107"/>
      <c r="J107"/>
      <c r="K107" s="86"/>
      <c r="M107" s="11"/>
    </row>
    <row r="108" spans="1:13" s="9" customFormat="1" ht="12.75" customHeight="1">
      <c r="A108"/>
      <c r="B108" s="1265" t="s">
        <v>819</v>
      </c>
      <c r="C108"/>
      <c r="D108"/>
      <c r="E108"/>
      <c r="F108" s="1152"/>
      <c r="G108"/>
      <c r="H108"/>
      <c r="I108"/>
      <c r="J108"/>
      <c r="K108" s="86"/>
      <c r="M108" s="11"/>
    </row>
    <row r="109" spans="1:13" s="9" customFormat="1" ht="12.75" customHeight="1">
      <c r="A109"/>
      <c r="B109"/>
      <c r="C109"/>
      <c r="D109"/>
      <c r="E109"/>
      <c r="F109" s="1152"/>
      <c r="G109"/>
      <c r="H109"/>
      <c r="I109"/>
      <c r="J109"/>
      <c r="K109" s="86"/>
      <c r="M109" s="11"/>
    </row>
    <row r="110" spans="1:13" s="9" customFormat="1" ht="12.75" customHeight="1">
      <c r="A110"/>
      <c r="B110"/>
      <c r="C110"/>
      <c r="D110"/>
      <c r="E110"/>
      <c r="F110" s="1152"/>
      <c r="G110"/>
      <c r="H110"/>
      <c r="I110"/>
      <c r="J110"/>
      <c r="K110" s="86"/>
      <c r="M110" s="11"/>
    </row>
    <row r="111" spans="1:13" s="9" customFormat="1" ht="12.75" customHeight="1">
      <c r="A111"/>
      <c r="B111"/>
      <c r="C111"/>
      <c r="D111"/>
      <c r="E111"/>
      <c r="F111" s="1152"/>
      <c r="G111"/>
      <c r="H111"/>
      <c r="I111"/>
      <c r="J111"/>
      <c r="K111" s="86"/>
      <c r="M111" s="11"/>
    </row>
    <row r="112" spans="1:13" s="9" customFormat="1" ht="12.75" customHeight="1">
      <c r="A112"/>
      <c r="B112"/>
      <c r="C112"/>
      <c r="D112"/>
      <c r="E112"/>
      <c r="F112" s="1152"/>
      <c r="G112"/>
      <c r="H112"/>
      <c r="I112"/>
      <c r="J112"/>
      <c r="K112" s="86"/>
      <c r="M112" s="11"/>
    </row>
    <row r="113" spans="1:13" s="9" customFormat="1" ht="12.75" customHeight="1">
      <c r="A113"/>
      <c r="B113"/>
      <c r="C113"/>
      <c r="D113"/>
      <c r="E113"/>
      <c r="F113" s="1152"/>
      <c r="G113"/>
      <c r="H113"/>
      <c r="I113"/>
      <c r="J113"/>
      <c r="K113" s="86"/>
      <c r="M113" s="11"/>
    </row>
    <row r="114" spans="1:13" s="9" customFormat="1" ht="12.75" customHeight="1">
      <c r="A114"/>
      <c r="B114"/>
      <c r="C114"/>
      <c r="D114"/>
      <c r="E114"/>
      <c r="F114" s="1152"/>
      <c r="G114"/>
      <c r="H114"/>
      <c r="I114"/>
      <c r="J114"/>
      <c r="K114" s="86"/>
      <c r="M114" s="11"/>
    </row>
    <row r="115" spans="1:13" s="9" customFormat="1" ht="12.75" customHeight="1">
      <c r="A115"/>
      <c r="B115"/>
      <c r="C115"/>
      <c r="D115"/>
      <c r="E115"/>
      <c r="F115" s="1152"/>
      <c r="G115"/>
      <c r="H115"/>
      <c r="I115"/>
      <c r="J115"/>
      <c r="K115" s="86"/>
      <c r="M115" s="11"/>
    </row>
    <row r="116" spans="7:13" s="9" customFormat="1" ht="12.75" customHeight="1">
      <c r="G116" s="10"/>
      <c r="I116" s="10"/>
      <c r="J116" s="10"/>
      <c r="K116" s="86"/>
      <c r="M116" s="11"/>
    </row>
    <row r="117" spans="7:13" s="9" customFormat="1" ht="12.75" customHeight="1">
      <c r="G117" s="10"/>
      <c r="I117" s="10"/>
      <c r="J117" s="10"/>
      <c r="K117" s="86"/>
      <c r="M117" s="11"/>
    </row>
    <row r="118" spans="7:13" s="9" customFormat="1" ht="12.75" customHeight="1">
      <c r="G118" s="10"/>
      <c r="I118" s="10"/>
      <c r="J118" s="10"/>
      <c r="K118" s="86"/>
      <c r="M118" s="11"/>
    </row>
    <row r="119" spans="7:13" s="9" customFormat="1" ht="12.75" customHeight="1">
      <c r="G119" s="10"/>
      <c r="I119" s="10"/>
      <c r="J119" s="10"/>
      <c r="K119" s="86"/>
      <c r="M119" s="11"/>
    </row>
    <row r="120" spans="7:13" s="9" customFormat="1" ht="12.75" customHeight="1">
      <c r="G120" s="10"/>
      <c r="I120" s="10"/>
      <c r="J120" s="10"/>
      <c r="K120" s="86"/>
      <c r="M120" s="11"/>
    </row>
    <row r="121" spans="7:13" s="9" customFormat="1" ht="12.75" customHeight="1">
      <c r="G121" s="10"/>
      <c r="I121" s="10"/>
      <c r="J121" s="10"/>
      <c r="K121" s="86"/>
      <c r="M121" s="11"/>
    </row>
    <row r="122" spans="7:13" s="9" customFormat="1" ht="12.75" customHeight="1">
      <c r="G122" s="10"/>
      <c r="I122" s="10"/>
      <c r="J122" s="10"/>
      <c r="K122" s="86"/>
      <c r="M122" s="11"/>
    </row>
    <row r="123" spans="7:13" s="9" customFormat="1" ht="12.75" customHeight="1">
      <c r="G123" s="10"/>
      <c r="I123" s="10"/>
      <c r="J123" s="10"/>
      <c r="K123" s="86"/>
      <c r="M123" s="11"/>
    </row>
    <row r="124" spans="7:13" s="9" customFormat="1" ht="12.75" customHeight="1">
      <c r="G124" s="10"/>
      <c r="I124" s="10"/>
      <c r="J124" s="10"/>
      <c r="K124" s="86"/>
      <c r="M124" s="11"/>
    </row>
    <row r="125" spans="7:13" s="9" customFormat="1" ht="12.75" customHeight="1">
      <c r="G125" s="10"/>
      <c r="I125" s="10"/>
      <c r="J125" s="10"/>
      <c r="K125" s="86"/>
      <c r="M125" s="11"/>
    </row>
    <row r="126" spans="7:13" s="9" customFormat="1" ht="12.75" customHeight="1">
      <c r="G126" s="10"/>
      <c r="I126" s="10"/>
      <c r="J126" s="10"/>
      <c r="K126" s="86"/>
      <c r="M126" s="11"/>
    </row>
    <row r="127" spans="7:13" s="9" customFormat="1" ht="12.75" customHeight="1">
      <c r="G127" s="10"/>
      <c r="I127" s="10"/>
      <c r="J127" s="10"/>
      <c r="K127" s="86"/>
      <c r="M127" s="11"/>
    </row>
    <row r="128" spans="7:13" s="9" customFormat="1" ht="12.75" customHeight="1">
      <c r="G128" s="10"/>
      <c r="I128" s="10"/>
      <c r="J128" s="10"/>
      <c r="K128" s="86"/>
      <c r="M128" s="11"/>
    </row>
    <row r="129" spans="7:13" s="9" customFormat="1" ht="12.75" customHeight="1">
      <c r="G129" s="10"/>
      <c r="I129" s="10"/>
      <c r="J129" s="10"/>
      <c r="K129" s="86"/>
      <c r="M129" s="11"/>
    </row>
    <row r="130" spans="7:13" s="9" customFormat="1" ht="12.75" customHeight="1">
      <c r="G130" s="10"/>
      <c r="I130" s="10"/>
      <c r="J130" s="10"/>
      <c r="K130" s="86"/>
      <c r="M130" s="11"/>
    </row>
    <row r="131" spans="7:13" s="9" customFormat="1" ht="12.75" customHeight="1">
      <c r="G131" s="10"/>
      <c r="I131" s="10"/>
      <c r="J131" s="10"/>
      <c r="K131" s="86"/>
      <c r="M131" s="11"/>
    </row>
    <row r="132" spans="7:13" s="9" customFormat="1" ht="12.75" customHeight="1">
      <c r="G132" s="10"/>
      <c r="I132" s="10"/>
      <c r="J132" s="10"/>
      <c r="K132" s="86"/>
      <c r="M132" s="11"/>
    </row>
    <row r="133" spans="7:13" s="9" customFormat="1" ht="12.75" customHeight="1">
      <c r="G133" s="10"/>
      <c r="I133" s="10"/>
      <c r="J133" s="10"/>
      <c r="K133" s="86"/>
      <c r="M133" s="11"/>
    </row>
    <row r="134" spans="7:13" s="9" customFormat="1" ht="12.75" customHeight="1">
      <c r="G134" s="10"/>
      <c r="I134" s="10"/>
      <c r="J134" s="10"/>
      <c r="K134" s="86"/>
      <c r="M134" s="11"/>
    </row>
    <row r="135" spans="7:13" s="9" customFormat="1" ht="12.75" customHeight="1">
      <c r="G135" s="10"/>
      <c r="I135" s="10"/>
      <c r="J135" s="10"/>
      <c r="K135" s="86"/>
      <c r="M135" s="11"/>
    </row>
    <row r="136" spans="7:13" s="9" customFormat="1" ht="12.75" customHeight="1">
      <c r="G136" s="10"/>
      <c r="I136" s="10"/>
      <c r="J136" s="10"/>
      <c r="K136" s="86"/>
      <c r="M136" s="11"/>
    </row>
    <row r="137" spans="7:13" s="9" customFormat="1" ht="12.75" customHeight="1">
      <c r="G137" s="10"/>
      <c r="I137" s="10"/>
      <c r="J137" s="10"/>
      <c r="K137" s="86"/>
      <c r="M137" s="11"/>
    </row>
    <row r="138" spans="7:13" s="9" customFormat="1" ht="12.75" customHeight="1">
      <c r="G138" s="10"/>
      <c r="I138" s="10"/>
      <c r="J138" s="10"/>
      <c r="K138" s="86"/>
      <c r="M138" s="11"/>
    </row>
    <row r="139" spans="7:13" s="9" customFormat="1" ht="12.75" customHeight="1">
      <c r="G139" s="10"/>
      <c r="I139" s="10"/>
      <c r="J139" s="10"/>
      <c r="K139" s="86"/>
      <c r="M139" s="11"/>
    </row>
    <row r="140" spans="7:13" s="9" customFormat="1" ht="12.75" customHeight="1">
      <c r="G140" s="10"/>
      <c r="I140" s="10"/>
      <c r="J140" s="10"/>
      <c r="K140" s="86"/>
      <c r="M140" s="11"/>
    </row>
    <row r="141" spans="7:13" s="9" customFormat="1" ht="12.75" customHeight="1">
      <c r="G141" s="10"/>
      <c r="I141" s="10"/>
      <c r="J141" s="10"/>
      <c r="K141" s="86"/>
      <c r="M141" s="11"/>
    </row>
    <row r="142" spans="7:13" s="9" customFormat="1" ht="12.75" customHeight="1">
      <c r="G142" s="10"/>
      <c r="I142" s="10"/>
      <c r="J142" s="10"/>
      <c r="K142" s="86"/>
      <c r="M142" s="11"/>
    </row>
    <row r="143" spans="7:13" s="9" customFormat="1" ht="12.75" customHeight="1">
      <c r="G143" s="10"/>
      <c r="I143" s="10"/>
      <c r="J143" s="10"/>
      <c r="K143" s="86"/>
      <c r="M143" s="11"/>
    </row>
    <row r="144" spans="7:13" s="9" customFormat="1" ht="12.75" customHeight="1">
      <c r="G144" s="10"/>
      <c r="I144" s="10"/>
      <c r="J144" s="10"/>
      <c r="K144" s="86"/>
      <c r="M144" s="11"/>
    </row>
    <row r="145" spans="7:13" s="9" customFormat="1" ht="12.75" customHeight="1">
      <c r="G145" s="10"/>
      <c r="I145" s="10"/>
      <c r="J145" s="10"/>
      <c r="K145" s="86"/>
      <c r="M145" s="11"/>
    </row>
    <row r="146" spans="7:13" s="9" customFormat="1" ht="12.75" customHeight="1">
      <c r="G146" s="10"/>
      <c r="I146" s="10"/>
      <c r="J146" s="10"/>
      <c r="K146" s="86"/>
      <c r="M146" s="11"/>
    </row>
    <row r="147" spans="7:13" s="9" customFormat="1" ht="12.75" customHeight="1">
      <c r="G147" s="10"/>
      <c r="I147" s="10"/>
      <c r="J147" s="10"/>
      <c r="K147" s="86"/>
      <c r="M147" s="11"/>
    </row>
    <row r="148" spans="7:13" s="9" customFormat="1" ht="12.75" customHeight="1">
      <c r="G148" s="10"/>
      <c r="I148" s="10"/>
      <c r="J148" s="10"/>
      <c r="K148" s="86"/>
      <c r="M148" s="11"/>
    </row>
    <row r="149" spans="7:13" s="9" customFormat="1" ht="12.75" customHeight="1">
      <c r="G149" s="10"/>
      <c r="I149" s="10"/>
      <c r="J149" s="10"/>
      <c r="K149" s="86"/>
      <c r="M149" s="11"/>
    </row>
    <row r="150" spans="7:13" s="9" customFormat="1" ht="12.75" customHeight="1">
      <c r="G150" s="10"/>
      <c r="I150" s="10"/>
      <c r="J150" s="10"/>
      <c r="K150" s="86"/>
      <c r="M150" s="11"/>
    </row>
    <row r="151" spans="7:13" s="9" customFormat="1" ht="12.75" customHeight="1">
      <c r="G151" s="10"/>
      <c r="I151" s="10"/>
      <c r="J151" s="10"/>
      <c r="K151" s="86"/>
      <c r="M151" s="11"/>
    </row>
    <row r="152" spans="7:13" s="9" customFormat="1" ht="12.75" customHeight="1">
      <c r="G152" s="10"/>
      <c r="I152" s="10"/>
      <c r="J152" s="10"/>
      <c r="K152" s="86"/>
      <c r="M152" s="11"/>
    </row>
    <row r="153" spans="7:13" s="9" customFormat="1" ht="12.75" customHeight="1">
      <c r="G153" s="10"/>
      <c r="I153" s="10"/>
      <c r="J153" s="10"/>
      <c r="K153" s="86"/>
      <c r="M153" s="11"/>
    </row>
    <row r="154" spans="7:13" s="9" customFormat="1" ht="12.75" customHeight="1">
      <c r="G154" s="10"/>
      <c r="I154" s="10"/>
      <c r="J154" s="10"/>
      <c r="K154" s="86"/>
      <c r="M154" s="11"/>
    </row>
    <row r="155" spans="7:13" s="9" customFormat="1" ht="12.75" customHeight="1">
      <c r="G155" s="10"/>
      <c r="I155" s="10"/>
      <c r="J155" s="10"/>
      <c r="K155" s="86"/>
      <c r="M155" s="11"/>
    </row>
    <row r="156" spans="7:13" s="9" customFormat="1" ht="12.75" customHeight="1">
      <c r="G156" s="10"/>
      <c r="I156" s="10"/>
      <c r="J156" s="10"/>
      <c r="K156" s="86"/>
      <c r="M156" s="11"/>
    </row>
    <row r="157" spans="7:13" s="9" customFormat="1" ht="12.75" customHeight="1">
      <c r="G157" s="10"/>
      <c r="I157" s="10"/>
      <c r="J157" s="10"/>
      <c r="K157" s="86"/>
      <c r="M157" s="11"/>
    </row>
    <row r="158" spans="7:13" s="9" customFormat="1" ht="12.75" customHeight="1">
      <c r="G158" s="10"/>
      <c r="I158" s="10"/>
      <c r="J158" s="10"/>
      <c r="K158" s="86"/>
      <c r="M158" s="11"/>
    </row>
    <row r="159" spans="7:13" s="9" customFormat="1" ht="12.75" customHeight="1">
      <c r="G159" s="10"/>
      <c r="I159" s="10"/>
      <c r="J159" s="10"/>
      <c r="K159" s="86"/>
      <c r="M159" s="11"/>
    </row>
    <row r="160" spans="7:13" s="9" customFormat="1" ht="12.75" customHeight="1">
      <c r="G160" s="10"/>
      <c r="I160" s="10"/>
      <c r="J160" s="10"/>
      <c r="K160" s="86"/>
      <c r="M160" s="11"/>
    </row>
    <row r="161" spans="7:13" s="9" customFormat="1" ht="12.75" customHeight="1">
      <c r="G161" s="10"/>
      <c r="I161" s="10"/>
      <c r="J161" s="10"/>
      <c r="K161" s="86"/>
      <c r="M161" s="11"/>
    </row>
    <row r="162" spans="7:13" s="9" customFormat="1" ht="12.75" customHeight="1">
      <c r="G162" s="10"/>
      <c r="I162" s="10"/>
      <c r="J162" s="10"/>
      <c r="K162" s="86"/>
      <c r="M162" s="11"/>
    </row>
    <row r="163" spans="7:13" s="9" customFormat="1" ht="12.75" customHeight="1">
      <c r="G163" s="10"/>
      <c r="I163" s="10"/>
      <c r="J163" s="10"/>
      <c r="K163" s="86"/>
      <c r="M163" s="11"/>
    </row>
    <row r="164" spans="7:13" s="9" customFormat="1" ht="12.75" customHeight="1">
      <c r="G164" s="10"/>
      <c r="I164" s="10"/>
      <c r="J164" s="10"/>
      <c r="K164" s="86"/>
      <c r="M164" s="11"/>
    </row>
    <row r="165" spans="7:13" s="9" customFormat="1" ht="12.75" customHeight="1">
      <c r="G165" s="10"/>
      <c r="I165" s="10"/>
      <c r="J165" s="10"/>
      <c r="K165" s="86"/>
      <c r="M165" s="11"/>
    </row>
    <row r="166" spans="7:13" s="9" customFormat="1" ht="12.75" customHeight="1">
      <c r="G166" s="10"/>
      <c r="I166" s="10"/>
      <c r="J166" s="10"/>
      <c r="K166" s="86"/>
      <c r="M166" s="11"/>
    </row>
    <row r="167" spans="7:13" s="9" customFormat="1" ht="12.75" customHeight="1">
      <c r="G167" s="10"/>
      <c r="I167" s="10"/>
      <c r="J167" s="10"/>
      <c r="K167" s="86"/>
      <c r="M167" s="11"/>
    </row>
    <row r="168" spans="7:13" s="9" customFormat="1" ht="12.75" customHeight="1">
      <c r="G168" s="10"/>
      <c r="I168" s="10"/>
      <c r="J168" s="10"/>
      <c r="K168" s="86"/>
      <c r="M168" s="11"/>
    </row>
    <row r="169" spans="7:13" s="9" customFormat="1" ht="12.75" customHeight="1">
      <c r="G169" s="10"/>
      <c r="I169" s="10"/>
      <c r="J169" s="10"/>
      <c r="K169" s="86"/>
      <c r="M169" s="11"/>
    </row>
    <row r="170" spans="7:13" s="9" customFormat="1" ht="12.75" customHeight="1">
      <c r="G170" s="10"/>
      <c r="I170" s="10"/>
      <c r="J170" s="10"/>
      <c r="K170" s="86"/>
      <c r="M170" s="11"/>
    </row>
    <row r="171" spans="7:13" s="9" customFormat="1" ht="12.75" customHeight="1">
      <c r="G171" s="10"/>
      <c r="I171" s="10"/>
      <c r="J171" s="10"/>
      <c r="K171" s="86"/>
      <c r="M171" s="11"/>
    </row>
    <row r="172" spans="7:13" s="9" customFormat="1" ht="12.75" customHeight="1">
      <c r="G172" s="10"/>
      <c r="I172" s="10"/>
      <c r="J172" s="10"/>
      <c r="K172" s="86"/>
      <c r="M172" s="11"/>
    </row>
    <row r="173" spans="7:13" s="9" customFormat="1" ht="12.75" customHeight="1">
      <c r="G173" s="10"/>
      <c r="I173" s="10"/>
      <c r="J173" s="10"/>
      <c r="K173" s="86"/>
      <c r="M173" s="11"/>
    </row>
    <row r="174" spans="7:13" s="9" customFormat="1" ht="12.75" customHeight="1">
      <c r="G174" s="10"/>
      <c r="I174" s="10"/>
      <c r="J174" s="10"/>
      <c r="K174" s="86"/>
      <c r="M174" s="11"/>
    </row>
    <row r="175" spans="7:13" s="9" customFormat="1" ht="12.75" customHeight="1">
      <c r="G175" s="10"/>
      <c r="I175" s="10"/>
      <c r="J175" s="10"/>
      <c r="K175" s="86"/>
      <c r="M175" s="11"/>
    </row>
    <row r="176" spans="7:13" s="9" customFormat="1" ht="12.75" customHeight="1">
      <c r="G176" s="10"/>
      <c r="I176" s="10"/>
      <c r="J176" s="10"/>
      <c r="K176" s="86"/>
      <c r="M176" s="11"/>
    </row>
    <row r="177" spans="7:13" s="9" customFormat="1" ht="12.75" customHeight="1">
      <c r="G177" s="10"/>
      <c r="I177" s="10"/>
      <c r="J177" s="10"/>
      <c r="K177" s="86"/>
      <c r="M177" s="11"/>
    </row>
    <row r="178" spans="7:13" s="9" customFormat="1" ht="12.75" customHeight="1">
      <c r="G178" s="10"/>
      <c r="I178" s="10"/>
      <c r="J178" s="10"/>
      <c r="K178" s="86"/>
      <c r="M178" s="11"/>
    </row>
    <row r="179" spans="7:13" s="9" customFormat="1" ht="12.75" customHeight="1">
      <c r="G179" s="10"/>
      <c r="I179" s="10"/>
      <c r="J179" s="10"/>
      <c r="K179" s="86"/>
      <c r="M179" s="11"/>
    </row>
    <row r="180" spans="7:13" s="9" customFormat="1" ht="12.75" customHeight="1">
      <c r="G180" s="10"/>
      <c r="I180" s="10"/>
      <c r="J180" s="10"/>
      <c r="K180" s="86"/>
      <c r="M180" s="11"/>
    </row>
    <row r="181" spans="7:13" s="9" customFormat="1" ht="12.75" customHeight="1">
      <c r="G181" s="10"/>
      <c r="I181" s="10"/>
      <c r="J181" s="10"/>
      <c r="K181" s="86"/>
      <c r="M181" s="11"/>
    </row>
    <row r="182" spans="7:13" s="9" customFormat="1" ht="12.75" customHeight="1">
      <c r="G182" s="10"/>
      <c r="I182" s="10"/>
      <c r="J182" s="10"/>
      <c r="K182" s="86"/>
      <c r="M182" s="11"/>
    </row>
    <row r="183" spans="7:13" s="9" customFormat="1" ht="12.75" customHeight="1">
      <c r="G183" s="10"/>
      <c r="I183" s="10"/>
      <c r="J183" s="10"/>
      <c r="K183" s="86"/>
      <c r="M183" s="11"/>
    </row>
    <row r="184" spans="7:13" s="9" customFormat="1" ht="12.75" customHeight="1">
      <c r="G184" s="10"/>
      <c r="I184" s="10"/>
      <c r="J184" s="10"/>
      <c r="K184" s="86"/>
      <c r="M184" s="11"/>
    </row>
    <row r="185" spans="7:13" s="9" customFormat="1" ht="12.75" customHeight="1">
      <c r="G185" s="10"/>
      <c r="I185" s="10"/>
      <c r="J185" s="10"/>
      <c r="K185" s="86"/>
      <c r="M185" s="11"/>
    </row>
    <row r="186" spans="7:13" s="9" customFormat="1" ht="12.75" customHeight="1">
      <c r="G186" s="10"/>
      <c r="I186" s="10"/>
      <c r="J186" s="10"/>
      <c r="K186" s="86"/>
      <c r="M186" s="11"/>
    </row>
    <row r="187" spans="7:13" s="9" customFormat="1" ht="12.75" customHeight="1">
      <c r="G187" s="10"/>
      <c r="I187" s="10"/>
      <c r="J187" s="10"/>
      <c r="K187" s="86"/>
      <c r="M187" s="11"/>
    </row>
    <row r="188" spans="7:13" s="9" customFormat="1" ht="12.75" customHeight="1">
      <c r="G188" s="10"/>
      <c r="I188" s="10"/>
      <c r="J188" s="10"/>
      <c r="K188" s="86"/>
      <c r="M188" s="11"/>
    </row>
    <row r="189" spans="7:13" s="9" customFormat="1" ht="12.75" customHeight="1">
      <c r="G189" s="10"/>
      <c r="I189" s="10"/>
      <c r="J189" s="10"/>
      <c r="K189" s="86"/>
      <c r="M189" s="11"/>
    </row>
    <row r="190" spans="7:13" s="9" customFormat="1" ht="12.75" customHeight="1">
      <c r="G190" s="10"/>
      <c r="I190" s="10"/>
      <c r="J190" s="10"/>
      <c r="K190" s="86"/>
      <c r="M190" s="11"/>
    </row>
    <row r="191" spans="7:13" s="9" customFormat="1" ht="12.75" customHeight="1">
      <c r="G191" s="10"/>
      <c r="I191" s="10"/>
      <c r="J191" s="10"/>
      <c r="K191" s="86"/>
      <c r="M191" s="11"/>
    </row>
    <row r="192" spans="7:13" s="9" customFormat="1" ht="12.75" customHeight="1">
      <c r="G192" s="10"/>
      <c r="I192" s="10"/>
      <c r="J192" s="10"/>
      <c r="K192" s="86"/>
      <c r="M192" s="11"/>
    </row>
    <row r="193" spans="7:13" s="9" customFormat="1" ht="12.75" customHeight="1">
      <c r="G193" s="10"/>
      <c r="I193" s="10"/>
      <c r="J193" s="10"/>
      <c r="K193" s="86"/>
      <c r="M193" s="11"/>
    </row>
    <row r="194" spans="7:13" s="9" customFormat="1" ht="12.75" customHeight="1">
      <c r="G194" s="10"/>
      <c r="I194" s="10"/>
      <c r="J194" s="10"/>
      <c r="K194" s="86"/>
      <c r="M194" s="11"/>
    </row>
    <row r="195" spans="7:13" s="9" customFormat="1" ht="12.75" customHeight="1">
      <c r="G195" s="10"/>
      <c r="I195" s="10"/>
      <c r="J195" s="10"/>
      <c r="K195" s="86"/>
      <c r="M195" s="11"/>
    </row>
    <row r="196" spans="7:13" s="9" customFormat="1" ht="12.75" customHeight="1">
      <c r="G196" s="10"/>
      <c r="I196" s="10"/>
      <c r="J196" s="10"/>
      <c r="K196" s="86"/>
      <c r="M196" s="11"/>
    </row>
    <row r="197" spans="7:13" s="9" customFormat="1" ht="12.75" customHeight="1">
      <c r="G197" s="10"/>
      <c r="I197" s="10"/>
      <c r="J197" s="10"/>
      <c r="K197" s="86"/>
      <c r="M197" s="11"/>
    </row>
    <row r="198" spans="7:13" s="9" customFormat="1" ht="12.75" customHeight="1">
      <c r="G198" s="10"/>
      <c r="I198" s="10"/>
      <c r="J198" s="10"/>
      <c r="K198" s="86"/>
      <c r="M198" s="11"/>
    </row>
    <row r="199" spans="7:13" s="9" customFormat="1" ht="12.75" customHeight="1">
      <c r="G199" s="10"/>
      <c r="I199" s="10"/>
      <c r="J199" s="10"/>
      <c r="K199" s="86"/>
      <c r="M199" s="11"/>
    </row>
    <row r="200" spans="7:13" s="9" customFormat="1" ht="12.75" customHeight="1">
      <c r="G200" s="10"/>
      <c r="I200" s="10"/>
      <c r="J200" s="10"/>
      <c r="K200" s="86"/>
      <c r="M200" s="11"/>
    </row>
    <row r="201" spans="7:13" s="9" customFormat="1" ht="12.75" customHeight="1">
      <c r="G201" s="10"/>
      <c r="I201" s="10"/>
      <c r="J201" s="10"/>
      <c r="K201" s="86"/>
      <c r="M201" s="11"/>
    </row>
    <row r="202" spans="7:13" s="9" customFormat="1" ht="12.75" customHeight="1">
      <c r="G202" s="10"/>
      <c r="I202" s="10"/>
      <c r="J202" s="10"/>
      <c r="K202" s="86"/>
      <c r="M202" s="11"/>
    </row>
    <row r="203" spans="7:13" s="9" customFormat="1" ht="12.75" customHeight="1">
      <c r="G203" s="10"/>
      <c r="I203" s="10"/>
      <c r="J203" s="10"/>
      <c r="K203" s="86"/>
      <c r="M203" s="11"/>
    </row>
    <row r="204" spans="7:13" s="9" customFormat="1" ht="12.75" customHeight="1">
      <c r="G204" s="10"/>
      <c r="I204" s="10"/>
      <c r="J204" s="10"/>
      <c r="K204" s="86"/>
      <c r="M204" s="11"/>
    </row>
    <row r="205" spans="7:13" s="9" customFormat="1" ht="12.75" customHeight="1">
      <c r="G205" s="10"/>
      <c r="I205" s="10"/>
      <c r="J205" s="10"/>
      <c r="K205" s="86"/>
      <c r="M205" s="11"/>
    </row>
    <row r="206" spans="7:13" s="9" customFormat="1" ht="12.75" customHeight="1">
      <c r="G206" s="10"/>
      <c r="I206" s="10"/>
      <c r="J206" s="10"/>
      <c r="K206" s="86"/>
      <c r="M206" s="11"/>
    </row>
    <row r="207" spans="7:13" s="9" customFormat="1" ht="12.75" customHeight="1">
      <c r="G207" s="10"/>
      <c r="I207" s="10"/>
      <c r="J207" s="10"/>
      <c r="K207" s="86"/>
      <c r="M207" s="11"/>
    </row>
    <row r="208" spans="7:13" s="9" customFormat="1" ht="12.75" customHeight="1">
      <c r="G208" s="10"/>
      <c r="I208" s="10"/>
      <c r="J208" s="10"/>
      <c r="K208" s="86"/>
      <c r="M208" s="11"/>
    </row>
    <row r="209" spans="7:13" s="9" customFormat="1" ht="12.75" customHeight="1">
      <c r="G209" s="10"/>
      <c r="I209" s="10"/>
      <c r="J209" s="10"/>
      <c r="K209" s="86"/>
      <c r="M209" s="11"/>
    </row>
    <row r="210" spans="7:13" s="9" customFormat="1" ht="12.75" customHeight="1">
      <c r="G210" s="10"/>
      <c r="I210" s="10"/>
      <c r="J210" s="10"/>
      <c r="K210" s="86"/>
      <c r="M210" s="11"/>
    </row>
    <row r="211" spans="7:13" s="9" customFormat="1" ht="12.75" customHeight="1">
      <c r="G211" s="10"/>
      <c r="I211" s="10"/>
      <c r="J211" s="10"/>
      <c r="K211" s="86"/>
      <c r="M211" s="11"/>
    </row>
    <row r="212" spans="7:13" s="9" customFormat="1" ht="12.75" customHeight="1">
      <c r="G212" s="10"/>
      <c r="I212" s="10"/>
      <c r="J212" s="10"/>
      <c r="K212" s="86"/>
      <c r="M212" s="11"/>
    </row>
    <row r="213" spans="7:13" s="9" customFormat="1" ht="12.75" customHeight="1">
      <c r="G213" s="10"/>
      <c r="I213" s="10"/>
      <c r="J213" s="10"/>
      <c r="K213" s="86"/>
      <c r="M213" s="11"/>
    </row>
    <row r="214" spans="7:13" s="9" customFormat="1" ht="12.75" customHeight="1">
      <c r="G214" s="10"/>
      <c r="I214" s="10"/>
      <c r="J214" s="10"/>
      <c r="K214" s="86"/>
      <c r="M214" s="11"/>
    </row>
    <row r="215" spans="7:13" s="9" customFormat="1" ht="12.75" customHeight="1">
      <c r="G215" s="10"/>
      <c r="I215" s="10"/>
      <c r="J215" s="10"/>
      <c r="K215" s="86"/>
      <c r="M215" s="11"/>
    </row>
    <row r="216" spans="7:13" s="9" customFormat="1" ht="12.75" customHeight="1">
      <c r="G216" s="10"/>
      <c r="I216" s="10"/>
      <c r="J216" s="10"/>
      <c r="K216" s="86"/>
      <c r="M216" s="11"/>
    </row>
    <row r="217" spans="7:13" s="9" customFormat="1" ht="12.75" customHeight="1">
      <c r="G217" s="10"/>
      <c r="I217" s="10"/>
      <c r="J217" s="10"/>
      <c r="K217" s="86"/>
      <c r="M217" s="11"/>
    </row>
    <row r="218" spans="7:13" s="9" customFormat="1" ht="12.75" customHeight="1">
      <c r="G218" s="10"/>
      <c r="I218" s="10"/>
      <c r="J218" s="10"/>
      <c r="K218" s="86"/>
      <c r="M218" s="11"/>
    </row>
    <row r="219" spans="7:13" s="9" customFormat="1" ht="12.75" customHeight="1">
      <c r="G219" s="10"/>
      <c r="I219" s="10"/>
      <c r="J219" s="10"/>
      <c r="K219" s="86"/>
      <c r="M219" s="11"/>
    </row>
    <row r="220" spans="7:13" s="9" customFormat="1" ht="12.75" customHeight="1">
      <c r="G220" s="10"/>
      <c r="I220" s="10"/>
      <c r="J220" s="10"/>
      <c r="K220" s="86"/>
      <c r="M220" s="11"/>
    </row>
    <row r="221" spans="7:13" s="9" customFormat="1" ht="12.75" customHeight="1">
      <c r="G221" s="10"/>
      <c r="I221" s="10"/>
      <c r="J221" s="10"/>
      <c r="K221" s="86"/>
      <c r="M221" s="11"/>
    </row>
    <row r="222" spans="7:13" s="9" customFormat="1" ht="12.75" customHeight="1">
      <c r="G222" s="10"/>
      <c r="I222" s="10"/>
      <c r="J222" s="10"/>
      <c r="K222" s="86"/>
      <c r="M222" s="11"/>
    </row>
    <row r="223" spans="7:13" s="9" customFormat="1" ht="12.75" customHeight="1">
      <c r="G223" s="10"/>
      <c r="I223" s="10"/>
      <c r="J223" s="10"/>
      <c r="K223" s="86"/>
      <c r="M223" s="11"/>
    </row>
    <row r="224" spans="7:13" s="9" customFormat="1" ht="12.75" customHeight="1">
      <c r="G224" s="10"/>
      <c r="I224" s="10"/>
      <c r="J224" s="10"/>
      <c r="K224" s="86"/>
      <c r="M224" s="11"/>
    </row>
    <row r="225" spans="7:13" s="9" customFormat="1" ht="12.75" customHeight="1">
      <c r="G225" s="10"/>
      <c r="I225" s="10"/>
      <c r="J225" s="10"/>
      <c r="K225" s="86"/>
      <c r="M225" s="11"/>
    </row>
    <row r="226" spans="7:13" s="9" customFormat="1" ht="12.75" customHeight="1">
      <c r="G226" s="10"/>
      <c r="I226" s="10"/>
      <c r="J226" s="10"/>
      <c r="K226" s="86"/>
      <c r="M226" s="11"/>
    </row>
    <row r="227" spans="7:13" s="9" customFormat="1" ht="12.75" customHeight="1">
      <c r="G227" s="10"/>
      <c r="I227" s="10"/>
      <c r="J227" s="10"/>
      <c r="K227" s="86"/>
      <c r="M227" s="11"/>
    </row>
    <row r="228" spans="7:13" s="9" customFormat="1" ht="12.75" customHeight="1">
      <c r="G228" s="10"/>
      <c r="I228" s="10"/>
      <c r="J228" s="10"/>
      <c r="K228" s="86"/>
      <c r="M228" s="11"/>
    </row>
    <row r="229" spans="7:13" s="9" customFormat="1" ht="12.75" customHeight="1">
      <c r="G229" s="10"/>
      <c r="I229" s="10"/>
      <c r="J229" s="10"/>
      <c r="K229" s="86"/>
      <c r="M229" s="11"/>
    </row>
    <row r="230" spans="7:13" s="9" customFormat="1" ht="12.75" customHeight="1">
      <c r="G230" s="10"/>
      <c r="I230" s="10"/>
      <c r="J230" s="10"/>
      <c r="K230" s="86"/>
      <c r="M230" s="11"/>
    </row>
    <row r="231" spans="7:13" s="9" customFormat="1" ht="12.75" customHeight="1">
      <c r="G231" s="10"/>
      <c r="I231" s="10"/>
      <c r="J231" s="10"/>
      <c r="K231" s="86"/>
      <c r="M231" s="11"/>
    </row>
    <row r="232" spans="7:13" s="9" customFormat="1" ht="12.75" customHeight="1">
      <c r="G232" s="10"/>
      <c r="I232" s="10"/>
      <c r="J232" s="10"/>
      <c r="K232" s="86"/>
      <c r="M232" s="11"/>
    </row>
    <row r="233" spans="7:13" s="9" customFormat="1" ht="12.75" customHeight="1">
      <c r="G233" s="10"/>
      <c r="I233" s="10"/>
      <c r="J233" s="10"/>
      <c r="K233" s="86"/>
      <c r="M233" s="11"/>
    </row>
    <row r="234" spans="7:13" s="9" customFormat="1" ht="12.75" customHeight="1">
      <c r="G234" s="10"/>
      <c r="I234" s="10"/>
      <c r="J234" s="10"/>
      <c r="K234" s="86"/>
      <c r="M234" s="11"/>
    </row>
    <row r="235" spans="7:13" s="9" customFormat="1" ht="12.75" customHeight="1">
      <c r="G235" s="10"/>
      <c r="I235" s="10"/>
      <c r="J235" s="10"/>
      <c r="K235" s="86"/>
      <c r="M235" s="11"/>
    </row>
    <row r="236" spans="7:13" s="9" customFormat="1" ht="12.75" customHeight="1">
      <c r="G236" s="10"/>
      <c r="I236" s="10"/>
      <c r="J236" s="10"/>
      <c r="K236" s="86"/>
      <c r="M236" s="11"/>
    </row>
    <row r="237" spans="7:13" s="9" customFormat="1" ht="12.75" customHeight="1">
      <c r="G237" s="10"/>
      <c r="I237" s="10"/>
      <c r="J237" s="10"/>
      <c r="K237" s="86"/>
      <c r="M237" s="11"/>
    </row>
    <row r="238" spans="7:13" s="9" customFormat="1" ht="12.75" customHeight="1">
      <c r="G238" s="10"/>
      <c r="I238" s="10"/>
      <c r="J238" s="10"/>
      <c r="K238" s="86"/>
      <c r="M238" s="11"/>
    </row>
    <row r="239" spans="7:13" s="9" customFormat="1" ht="12.75" customHeight="1">
      <c r="G239" s="10"/>
      <c r="I239" s="10"/>
      <c r="J239" s="10"/>
      <c r="K239" s="86"/>
      <c r="M239" s="11"/>
    </row>
    <row r="240" spans="7:13" s="9" customFormat="1" ht="12.75" customHeight="1">
      <c r="G240" s="10"/>
      <c r="I240" s="10"/>
      <c r="J240" s="10"/>
      <c r="K240" s="86"/>
      <c r="M240" s="11"/>
    </row>
    <row r="241" spans="7:13" s="9" customFormat="1" ht="12.75" customHeight="1">
      <c r="G241" s="10"/>
      <c r="I241" s="10"/>
      <c r="J241" s="10"/>
      <c r="K241" s="86"/>
      <c r="M241" s="11"/>
    </row>
    <row r="242" spans="7:13" s="9" customFormat="1" ht="12.75" customHeight="1">
      <c r="G242" s="10"/>
      <c r="I242" s="10"/>
      <c r="J242" s="10"/>
      <c r="K242" s="86"/>
      <c r="M242" s="11"/>
    </row>
    <row r="243" spans="7:13" s="9" customFormat="1" ht="12.75" customHeight="1">
      <c r="G243" s="10"/>
      <c r="I243" s="10"/>
      <c r="J243" s="10"/>
      <c r="K243" s="86"/>
      <c r="M243" s="11"/>
    </row>
    <row r="244" spans="7:13" s="9" customFormat="1" ht="12.75" customHeight="1">
      <c r="G244" s="10"/>
      <c r="I244" s="10"/>
      <c r="J244" s="10"/>
      <c r="K244" s="86"/>
      <c r="M244" s="11"/>
    </row>
    <row r="245" spans="7:13" s="9" customFormat="1" ht="12.75" customHeight="1">
      <c r="G245" s="10"/>
      <c r="I245" s="10"/>
      <c r="J245" s="10"/>
      <c r="K245" s="86"/>
      <c r="M245" s="11"/>
    </row>
    <row r="246" spans="7:13" s="9" customFormat="1" ht="12.75" customHeight="1">
      <c r="G246" s="10"/>
      <c r="I246" s="10"/>
      <c r="J246" s="10"/>
      <c r="K246" s="86"/>
      <c r="M246" s="11"/>
    </row>
    <row r="247" spans="7:13" s="9" customFormat="1" ht="12.75" customHeight="1">
      <c r="G247" s="10"/>
      <c r="I247" s="10"/>
      <c r="J247" s="10"/>
      <c r="K247" s="86"/>
      <c r="M247" s="11"/>
    </row>
    <row r="248" spans="7:13" s="9" customFormat="1" ht="12.75" customHeight="1">
      <c r="G248" s="10"/>
      <c r="I248" s="10"/>
      <c r="J248" s="10"/>
      <c r="K248" s="86"/>
      <c r="M248" s="11"/>
    </row>
    <row r="249" spans="7:13" s="9" customFormat="1" ht="12.75" customHeight="1">
      <c r="G249" s="10"/>
      <c r="I249" s="10"/>
      <c r="J249" s="10"/>
      <c r="K249" s="86"/>
      <c r="M249" s="11"/>
    </row>
    <row r="250" spans="7:13" s="9" customFormat="1" ht="12.75" customHeight="1">
      <c r="G250" s="10"/>
      <c r="I250" s="10"/>
      <c r="J250" s="10"/>
      <c r="K250" s="86"/>
      <c r="M250" s="11"/>
    </row>
    <row r="251" spans="7:13" s="9" customFormat="1" ht="12.75" customHeight="1">
      <c r="G251" s="10"/>
      <c r="I251" s="10"/>
      <c r="J251" s="10"/>
      <c r="K251" s="86"/>
      <c r="M251" s="11"/>
    </row>
    <row r="252" spans="7:13" s="9" customFormat="1" ht="12.75" customHeight="1">
      <c r="G252" s="10"/>
      <c r="I252" s="10"/>
      <c r="J252" s="10"/>
      <c r="K252" s="86"/>
      <c r="M252" s="11"/>
    </row>
    <row r="253" spans="7:13" s="9" customFormat="1" ht="12.75" customHeight="1">
      <c r="G253" s="10"/>
      <c r="I253" s="10"/>
      <c r="J253" s="10"/>
      <c r="K253" s="86"/>
      <c r="M253" s="11"/>
    </row>
    <row r="254" spans="7:13" s="9" customFormat="1" ht="12.75" customHeight="1">
      <c r="G254" s="10"/>
      <c r="I254" s="10"/>
      <c r="J254" s="10"/>
      <c r="K254" s="86"/>
      <c r="M254" s="11"/>
    </row>
    <row r="255" spans="7:13" s="9" customFormat="1" ht="12.75" customHeight="1">
      <c r="G255" s="10"/>
      <c r="I255" s="10"/>
      <c r="J255" s="10"/>
      <c r="K255" s="86"/>
      <c r="M255" s="11"/>
    </row>
    <row r="256" spans="7:13" s="9" customFormat="1" ht="12.75" customHeight="1">
      <c r="G256" s="10"/>
      <c r="I256" s="10"/>
      <c r="J256" s="10"/>
      <c r="K256" s="86"/>
      <c r="M256" s="11"/>
    </row>
    <row r="257" spans="7:13" s="9" customFormat="1" ht="12.75" customHeight="1">
      <c r="G257" s="10"/>
      <c r="I257" s="10"/>
      <c r="J257" s="10"/>
      <c r="K257" s="86"/>
      <c r="M257" s="11"/>
    </row>
    <row r="258" spans="7:13" s="9" customFormat="1" ht="12.75" customHeight="1">
      <c r="G258" s="10"/>
      <c r="I258" s="10"/>
      <c r="J258" s="10"/>
      <c r="K258" s="86"/>
      <c r="M258" s="11"/>
    </row>
    <row r="259" spans="7:13" s="9" customFormat="1" ht="12.75" customHeight="1">
      <c r="G259" s="10"/>
      <c r="I259" s="10"/>
      <c r="J259" s="10"/>
      <c r="K259" s="86"/>
      <c r="M259" s="11"/>
    </row>
    <row r="260" spans="7:13" s="9" customFormat="1" ht="12.75" customHeight="1">
      <c r="G260" s="10"/>
      <c r="I260" s="10"/>
      <c r="J260" s="10"/>
      <c r="K260" s="86"/>
      <c r="M260" s="11"/>
    </row>
    <row r="261" spans="7:13" s="9" customFormat="1" ht="12.75" customHeight="1">
      <c r="G261" s="10"/>
      <c r="I261" s="10"/>
      <c r="J261" s="10"/>
      <c r="K261" s="86"/>
      <c r="M261" s="11"/>
    </row>
    <row r="262" spans="7:13" s="9" customFormat="1" ht="12.75" customHeight="1">
      <c r="G262" s="10"/>
      <c r="I262" s="10"/>
      <c r="J262" s="10"/>
      <c r="K262" s="86"/>
      <c r="M262" s="11"/>
    </row>
    <row r="263" spans="7:13" s="9" customFormat="1" ht="12.75" customHeight="1">
      <c r="G263" s="10"/>
      <c r="I263" s="10"/>
      <c r="J263" s="10"/>
      <c r="K263" s="86"/>
      <c r="M263" s="11"/>
    </row>
    <row r="264" spans="7:13" s="9" customFormat="1" ht="12.75" customHeight="1">
      <c r="G264" s="10"/>
      <c r="I264" s="10"/>
      <c r="J264" s="10"/>
      <c r="K264" s="86"/>
      <c r="M264" s="11"/>
    </row>
    <row r="265" spans="7:13" s="9" customFormat="1" ht="12.75" customHeight="1">
      <c r="G265" s="10"/>
      <c r="I265" s="10"/>
      <c r="J265" s="10"/>
      <c r="K265" s="86"/>
      <c r="M265" s="11"/>
    </row>
    <row r="266" spans="7:13" s="9" customFormat="1" ht="12.75" customHeight="1">
      <c r="G266" s="10"/>
      <c r="I266" s="10"/>
      <c r="J266" s="10"/>
      <c r="K266" s="86"/>
      <c r="M266" s="11"/>
    </row>
    <row r="267" spans="7:13" s="9" customFormat="1" ht="12.75" customHeight="1">
      <c r="G267" s="10"/>
      <c r="I267" s="10"/>
      <c r="J267" s="10"/>
      <c r="K267" s="86"/>
      <c r="M267" s="11"/>
    </row>
    <row r="268" spans="7:13" s="9" customFormat="1" ht="12.75" customHeight="1">
      <c r="G268" s="10"/>
      <c r="I268" s="10"/>
      <c r="J268" s="10"/>
      <c r="K268" s="86"/>
      <c r="M268" s="11"/>
    </row>
    <row r="269" spans="7:13" s="9" customFormat="1" ht="12.75" customHeight="1">
      <c r="G269" s="10"/>
      <c r="I269" s="10"/>
      <c r="J269" s="10"/>
      <c r="K269" s="86"/>
      <c r="M269" s="11"/>
    </row>
    <row r="270" spans="7:13" s="9" customFormat="1" ht="12.75" customHeight="1">
      <c r="G270" s="10"/>
      <c r="I270" s="10"/>
      <c r="J270" s="10"/>
      <c r="K270" s="86"/>
      <c r="M270" s="11"/>
    </row>
    <row r="271" spans="7:13" s="9" customFormat="1" ht="12.75" customHeight="1">
      <c r="G271" s="10"/>
      <c r="I271" s="10"/>
      <c r="J271" s="10"/>
      <c r="K271" s="86"/>
      <c r="M271" s="11"/>
    </row>
    <row r="272" spans="7:13" s="9" customFormat="1" ht="12.75" customHeight="1">
      <c r="G272" s="10"/>
      <c r="I272" s="10"/>
      <c r="J272" s="10"/>
      <c r="K272" s="86"/>
      <c r="M272" s="11"/>
    </row>
    <row r="273" spans="7:13" s="9" customFormat="1" ht="12.75" customHeight="1">
      <c r="G273" s="10"/>
      <c r="I273" s="10"/>
      <c r="J273" s="10"/>
      <c r="K273" s="86"/>
      <c r="M273" s="11"/>
    </row>
    <row r="274" spans="7:13" s="9" customFormat="1" ht="12.75" customHeight="1">
      <c r="G274" s="10"/>
      <c r="I274" s="10"/>
      <c r="J274" s="10"/>
      <c r="K274" s="86"/>
      <c r="M274" s="11"/>
    </row>
    <row r="275" spans="7:13" s="9" customFormat="1" ht="12.75" customHeight="1">
      <c r="G275" s="10"/>
      <c r="I275" s="10"/>
      <c r="J275" s="10"/>
      <c r="K275" s="86"/>
      <c r="M275" s="11"/>
    </row>
    <row r="276" spans="7:13" s="9" customFormat="1" ht="12.75" customHeight="1">
      <c r="G276" s="10"/>
      <c r="I276" s="10"/>
      <c r="J276" s="10"/>
      <c r="K276" s="86"/>
      <c r="M276" s="11"/>
    </row>
    <row r="277" spans="7:13" s="9" customFormat="1" ht="12.75" customHeight="1">
      <c r="G277" s="10"/>
      <c r="I277" s="10"/>
      <c r="J277" s="10"/>
      <c r="K277" s="86"/>
      <c r="M277" s="11"/>
    </row>
    <row r="278" spans="7:13" s="9" customFormat="1" ht="12.75" customHeight="1">
      <c r="G278" s="10"/>
      <c r="I278" s="10"/>
      <c r="J278" s="10"/>
      <c r="K278" s="86"/>
      <c r="M278" s="11"/>
    </row>
    <row r="279" spans="7:13" s="9" customFormat="1" ht="12.75" customHeight="1">
      <c r="G279" s="10"/>
      <c r="I279" s="10"/>
      <c r="J279" s="10"/>
      <c r="K279" s="86"/>
      <c r="M279" s="11"/>
    </row>
    <row r="280" spans="7:13" s="9" customFormat="1" ht="12.75" customHeight="1">
      <c r="G280" s="10"/>
      <c r="I280" s="10"/>
      <c r="J280" s="10"/>
      <c r="K280" s="86"/>
      <c r="M280" s="11"/>
    </row>
    <row r="281" spans="7:13" s="9" customFormat="1" ht="12.75" customHeight="1">
      <c r="G281" s="10"/>
      <c r="I281" s="10"/>
      <c r="J281" s="10"/>
      <c r="K281" s="86"/>
      <c r="M281" s="11"/>
    </row>
    <row r="282" spans="7:13" s="9" customFormat="1" ht="12.75" customHeight="1">
      <c r="G282" s="10"/>
      <c r="I282" s="10"/>
      <c r="J282" s="10"/>
      <c r="K282" s="86"/>
      <c r="M282" s="11"/>
    </row>
    <row r="283" spans="7:13" s="9" customFormat="1" ht="12.75" customHeight="1">
      <c r="G283" s="10"/>
      <c r="I283" s="10"/>
      <c r="J283" s="10"/>
      <c r="K283" s="86"/>
      <c r="M283" s="11"/>
    </row>
    <row r="284" spans="7:13" s="9" customFormat="1" ht="12.75" customHeight="1">
      <c r="G284" s="10"/>
      <c r="I284" s="10"/>
      <c r="J284" s="10"/>
      <c r="K284" s="86"/>
      <c r="M284" s="11"/>
    </row>
    <row r="285" spans="7:13" s="9" customFormat="1" ht="12.75" customHeight="1">
      <c r="G285" s="10"/>
      <c r="I285" s="10"/>
      <c r="J285" s="10"/>
      <c r="K285" s="86"/>
      <c r="M285" s="11"/>
    </row>
    <row r="286" spans="7:13" s="9" customFormat="1" ht="12.75" customHeight="1">
      <c r="G286" s="10"/>
      <c r="I286" s="10"/>
      <c r="J286" s="10"/>
      <c r="K286" s="86"/>
      <c r="M286" s="11"/>
    </row>
    <row r="287" spans="7:13" s="9" customFormat="1" ht="12.75" customHeight="1">
      <c r="G287" s="10"/>
      <c r="I287" s="10"/>
      <c r="J287" s="10"/>
      <c r="K287" s="86"/>
      <c r="M287" s="11"/>
    </row>
    <row r="288" spans="7:13" s="9" customFormat="1" ht="12.75" customHeight="1">
      <c r="G288" s="10"/>
      <c r="I288" s="10"/>
      <c r="J288" s="10"/>
      <c r="K288" s="86"/>
      <c r="M288" s="11"/>
    </row>
    <row r="289" spans="7:13" s="9" customFormat="1" ht="12.75" customHeight="1">
      <c r="G289" s="10"/>
      <c r="I289" s="10"/>
      <c r="J289" s="10"/>
      <c r="K289" s="86"/>
      <c r="M289" s="11"/>
    </row>
    <row r="290" spans="7:13" s="9" customFormat="1" ht="12.75" customHeight="1">
      <c r="G290" s="10"/>
      <c r="I290" s="10"/>
      <c r="J290" s="10"/>
      <c r="K290" s="86"/>
      <c r="M290" s="11"/>
    </row>
    <row r="291" spans="7:13" s="9" customFormat="1" ht="12.75" customHeight="1">
      <c r="G291" s="10"/>
      <c r="I291" s="10"/>
      <c r="J291" s="10"/>
      <c r="K291" s="86"/>
      <c r="M291" s="11"/>
    </row>
    <row r="292" spans="7:13" s="9" customFormat="1" ht="12.75" customHeight="1">
      <c r="G292" s="10"/>
      <c r="I292" s="10"/>
      <c r="J292" s="10"/>
      <c r="K292" s="86"/>
      <c r="M292" s="11"/>
    </row>
    <row r="293" spans="7:13" s="9" customFormat="1" ht="12.75" customHeight="1">
      <c r="G293" s="10"/>
      <c r="I293" s="10"/>
      <c r="J293" s="10"/>
      <c r="K293" s="86"/>
      <c r="M293" s="11"/>
    </row>
    <row r="294" spans="7:13" s="9" customFormat="1" ht="12.75" customHeight="1">
      <c r="G294" s="10"/>
      <c r="I294" s="10"/>
      <c r="J294" s="10"/>
      <c r="K294" s="86"/>
      <c r="M294" s="11"/>
    </row>
    <row r="295" spans="7:13" s="9" customFormat="1" ht="12.75" customHeight="1">
      <c r="G295" s="10"/>
      <c r="I295" s="10"/>
      <c r="J295" s="10"/>
      <c r="K295" s="86"/>
      <c r="M295" s="11"/>
    </row>
    <row r="296" spans="7:13" s="9" customFormat="1" ht="12.75" customHeight="1">
      <c r="G296" s="10"/>
      <c r="I296" s="10"/>
      <c r="J296" s="10"/>
      <c r="K296" s="86"/>
      <c r="M296" s="11"/>
    </row>
    <row r="297" spans="7:13" s="9" customFormat="1" ht="12.75" customHeight="1">
      <c r="G297" s="10"/>
      <c r="I297" s="10"/>
      <c r="J297" s="10"/>
      <c r="K297" s="86"/>
      <c r="M297" s="11"/>
    </row>
    <row r="298" spans="7:13" s="9" customFormat="1" ht="12.75" customHeight="1">
      <c r="G298" s="10"/>
      <c r="I298" s="10"/>
      <c r="J298" s="10"/>
      <c r="K298" s="86"/>
      <c r="M298" s="11"/>
    </row>
    <row r="299" spans="7:13" s="9" customFormat="1" ht="12.75" customHeight="1">
      <c r="G299" s="10"/>
      <c r="I299" s="10"/>
      <c r="J299" s="10"/>
      <c r="K299" s="86"/>
      <c r="M299" s="11"/>
    </row>
    <row r="300" spans="7:13" s="9" customFormat="1" ht="12.75" customHeight="1">
      <c r="G300" s="10"/>
      <c r="I300" s="10"/>
      <c r="J300" s="10"/>
      <c r="K300" s="86"/>
      <c r="M300" s="11"/>
    </row>
    <row r="301" spans="7:13" s="9" customFormat="1" ht="12.75" customHeight="1">
      <c r="G301" s="10"/>
      <c r="I301" s="10"/>
      <c r="J301" s="10"/>
      <c r="K301" s="86"/>
      <c r="M301" s="11"/>
    </row>
    <row r="302" spans="7:13" s="9" customFormat="1" ht="12.75" customHeight="1">
      <c r="G302" s="10"/>
      <c r="I302" s="10"/>
      <c r="J302" s="10"/>
      <c r="K302" s="86"/>
      <c r="M302" s="11"/>
    </row>
    <row r="303" spans="7:13" s="9" customFormat="1" ht="12.75" customHeight="1">
      <c r="G303" s="10"/>
      <c r="I303" s="10"/>
      <c r="J303" s="10"/>
      <c r="K303" s="86"/>
      <c r="M303" s="11"/>
    </row>
    <row r="304" spans="7:13" s="9" customFormat="1" ht="12.75" customHeight="1">
      <c r="G304" s="10"/>
      <c r="I304" s="10"/>
      <c r="J304" s="10"/>
      <c r="K304" s="86"/>
      <c r="M304" s="11"/>
    </row>
    <row r="305" spans="7:13" s="9" customFormat="1" ht="12.75" customHeight="1">
      <c r="G305" s="10"/>
      <c r="I305" s="10"/>
      <c r="J305" s="10"/>
      <c r="K305" s="86"/>
      <c r="M305" s="11"/>
    </row>
    <row r="306" spans="7:13" s="9" customFormat="1" ht="12.75" customHeight="1">
      <c r="G306" s="10"/>
      <c r="I306" s="10"/>
      <c r="J306" s="10"/>
      <c r="K306" s="86"/>
      <c r="M306" s="11"/>
    </row>
    <row r="307" spans="7:13" s="9" customFormat="1" ht="12.75" customHeight="1">
      <c r="G307" s="10"/>
      <c r="I307" s="10"/>
      <c r="J307" s="10"/>
      <c r="K307" s="86"/>
      <c r="M307" s="11"/>
    </row>
    <row r="308" spans="7:13" s="9" customFormat="1" ht="12.75" customHeight="1">
      <c r="G308" s="10"/>
      <c r="I308" s="10"/>
      <c r="J308" s="10"/>
      <c r="K308" s="86"/>
      <c r="M308" s="11"/>
    </row>
    <row r="309" spans="7:13" s="9" customFormat="1" ht="12.75" customHeight="1">
      <c r="G309" s="10"/>
      <c r="I309" s="10"/>
      <c r="J309" s="10"/>
      <c r="K309" s="86"/>
      <c r="M309" s="11"/>
    </row>
    <row r="310" spans="7:13" s="9" customFormat="1" ht="12.75" customHeight="1">
      <c r="G310" s="10"/>
      <c r="I310" s="10"/>
      <c r="J310" s="10"/>
      <c r="K310" s="86"/>
      <c r="M310" s="11"/>
    </row>
    <row r="311" spans="7:13" s="9" customFormat="1" ht="12.75" customHeight="1">
      <c r="G311" s="10"/>
      <c r="I311" s="10"/>
      <c r="J311" s="10"/>
      <c r="K311" s="86"/>
      <c r="M311" s="11"/>
    </row>
    <row r="312" spans="7:13" s="9" customFormat="1" ht="12.75" customHeight="1">
      <c r="G312" s="10"/>
      <c r="I312" s="10"/>
      <c r="J312" s="10"/>
      <c r="K312" s="86"/>
      <c r="M312" s="11"/>
    </row>
    <row r="313" spans="7:13" s="9" customFormat="1" ht="12.75" customHeight="1">
      <c r="G313" s="10"/>
      <c r="I313" s="10"/>
      <c r="J313" s="10"/>
      <c r="K313" s="86"/>
      <c r="M313" s="11"/>
    </row>
    <row r="314" spans="7:13" s="9" customFormat="1" ht="12.75" customHeight="1">
      <c r="G314" s="10"/>
      <c r="I314" s="10"/>
      <c r="J314" s="10"/>
      <c r="K314" s="86"/>
      <c r="M314" s="11"/>
    </row>
    <row r="315" spans="7:13" s="9" customFormat="1" ht="12.75" customHeight="1">
      <c r="G315" s="10"/>
      <c r="I315" s="10"/>
      <c r="J315" s="10"/>
      <c r="K315" s="86"/>
      <c r="M315" s="11"/>
    </row>
    <row r="316" spans="7:13" s="9" customFormat="1" ht="12.75" customHeight="1">
      <c r="G316" s="10"/>
      <c r="I316" s="10"/>
      <c r="J316" s="10"/>
      <c r="K316" s="86"/>
      <c r="M316" s="11"/>
    </row>
    <row r="317" spans="7:13" s="9" customFormat="1" ht="12.75" customHeight="1">
      <c r="G317" s="10"/>
      <c r="I317" s="10"/>
      <c r="J317" s="10"/>
      <c r="K317" s="86"/>
      <c r="M317" s="11"/>
    </row>
    <row r="318" spans="7:13" s="9" customFormat="1" ht="12.75" customHeight="1">
      <c r="G318" s="10"/>
      <c r="I318" s="10"/>
      <c r="J318" s="10"/>
      <c r="K318" s="86"/>
      <c r="M318" s="11"/>
    </row>
    <row r="319" spans="7:13" s="9" customFormat="1" ht="12.75" customHeight="1">
      <c r="G319" s="10"/>
      <c r="I319" s="10"/>
      <c r="J319" s="10"/>
      <c r="K319" s="86"/>
      <c r="M319" s="11"/>
    </row>
    <row r="320" spans="7:13" s="9" customFormat="1" ht="12.75" customHeight="1">
      <c r="G320" s="10"/>
      <c r="I320" s="10"/>
      <c r="J320" s="10"/>
      <c r="K320" s="86"/>
      <c r="M320" s="11"/>
    </row>
    <row r="321" spans="7:13" s="9" customFormat="1" ht="12.75" customHeight="1">
      <c r="G321" s="10"/>
      <c r="I321" s="10"/>
      <c r="J321" s="10"/>
      <c r="K321" s="86"/>
      <c r="M321" s="11"/>
    </row>
    <row r="322" spans="7:13" s="9" customFormat="1" ht="12.75" customHeight="1">
      <c r="G322" s="10"/>
      <c r="I322" s="10"/>
      <c r="J322" s="10"/>
      <c r="K322" s="86"/>
      <c r="M322" s="11"/>
    </row>
    <row r="323" spans="7:13" s="9" customFormat="1" ht="12.75" customHeight="1">
      <c r="G323" s="10"/>
      <c r="I323" s="10"/>
      <c r="J323" s="10"/>
      <c r="K323" s="86"/>
      <c r="M323" s="11"/>
    </row>
    <row r="324" spans="7:13" s="9" customFormat="1" ht="12.75" customHeight="1">
      <c r="G324" s="10"/>
      <c r="I324" s="10"/>
      <c r="J324" s="10"/>
      <c r="K324" s="86"/>
      <c r="M324" s="11"/>
    </row>
    <row r="325" spans="7:13" s="9" customFormat="1" ht="12.75" customHeight="1">
      <c r="G325" s="10"/>
      <c r="I325" s="10"/>
      <c r="J325" s="10"/>
      <c r="K325" s="86"/>
      <c r="M325" s="11"/>
    </row>
    <row r="326" spans="7:13" s="9" customFormat="1" ht="12.75" customHeight="1">
      <c r="G326" s="10"/>
      <c r="I326" s="10"/>
      <c r="J326" s="10"/>
      <c r="K326" s="86"/>
      <c r="M326" s="11"/>
    </row>
    <row r="327" spans="7:13" s="9" customFormat="1" ht="12.75" customHeight="1">
      <c r="G327" s="10"/>
      <c r="I327" s="10"/>
      <c r="J327" s="10"/>
      <c r="K327" s="86"/>
      <c r="M327" s="11"/>
    </row>
    <row r="328" spans="7:13" s="9" customFormat="1" ht="12.75" customHeight="1">
      <c r="G328" s="10"/>
      <c r="I328" s="10"/>
      <c r="J328" s="10"/>
      <c r="K328" s="86"/>
      <c r="M328" s="11"/>
    </row>
    <row r="329" spans="7:13" s="9" customFormat="1" ht="12.75" customHeight="1">
      <c r="G329" s="10"/>
      <c r="I329" s="10"/>
      <c r="J329" s="10"/>
      <c r="K329" s="86"/>
      <c r="M329" s="11"/>
    </row>
    <row r="330" spans="7:13" s="9" customFormat="1" ht="12.75" customHeight="1">
      <c r="G330" s="10"/>
      <c r="I330" s="10"/>
      <c r="J330" s="10"/>
      <c r="K330" s="86"/>
      <c r="M330" s="11"/>
    </row>
    <row r="331" spans="7:13" s="9" customFormat="1" ht="12.75" customHeight="1">
      <c r="G331" s="10"/>
      <c r="I331" s="10"/>
      <c r="J331" s="10"/>
      <c r="K331" s="86"/>
      <c r="M331" s="11"/>
    </row>
    <row r="332" spans="7:13" s="9" customFormat="1" ht="12.75" customHeight="1">
      <c r="G332" s="10"/>
      <c r="I332" s="10"/>
      <c r="J332" s="10"/>
      <c r="K332" s="86"/>
      <c r="M332" s="11"/>
    </row>
    <row r="333" spans="7:13" s="9" customFormat="1" ht="12.75" customHeight="1">
      <c r="G333" s="10"/>
      <c r="I333" s="10"/>
      <c r="J333" s="10"/>
      <c r="K333" s="86"/>
      <c r="M333" s="11"/>
    </row>
    <row r="334" spans="7:13" s="9" customFormat="1" ht="12.75" customHeight="1">
      <c r="G334" s="10"/>
      <c r="I334" s="10"/>
      <c r="J334" s="10"/>
      <c r="K334" s="86"/>
      <c r="M334" s="11"/>
    </row>
    <row r="335" spans="7:13" s="9" customFormat="1" ht="12.75" customHeight="1">
      <c r="G335" s="10"/>
      <c r="I335" s="10"/>
      <c r="J335" s="10"/>
      <c r="K335" s="86"/>
      <c r="M335" s="11"/>
    </row>
    <row r="336" spans="7:13" s="9" customFormat="1" ht="12.75" customHeight="1">
      <c r="G336" s="10"/>
      <c r="I336" s="10"/>
      <c r="J336" s="10"/>
      <c r="K336" s="86"/>
      <c r="M336" s="11"/>
    </row>
    <row r="337" spans="7:13" s="9" customFormat="1" ht="12.75" customHeight="1">
      <c r="G337" s="10"/>
      <c r="I337" s="10"/>
      <c r="J337" s="10"/>
      <c r="K337" s="86"/>
      <c r="M337" s="11"/>
    </row>
    <row r="338" spans="7:13" s="9" customFormat="1" ht="12.75" customHeight="1">
      <c r="G338" s="10"/>
      <c r="I338" s="10"/>
      <c r="J338" s="10"/>
      <c r="K338" s="86"/>
      <c r="M338" s="11"/>
    </row>
    <row r="339" spans="7:13" s="9" customFormat="1" ht="12.75" customHeight="1">
      <c r="G339" s="10"/>
      <c r="I339" s="10"/>
      <c r="J339" s="10"/>
      <c r="K339" s="86"/>
      <c r="M339" s="11"/>
    </row>
    <row r="340" spans="7:13" s="9" customFormat="1" ht="12.75" customHeight="1">
      <c r="G340" s="10"/>
      <c r="I340" s="10"/>
      <c r="J340" s="10"/>
      <c r="K340" s="86"/>
      <c r="M340" s="11"/>
    </row>
    <row r="341" spans="7:13" s="9" customFormat="1" ht="12.75" customHeight="1">
      <c r="G341" s="10"/>
      <c r="I341" s="10"/>
      <c r="J341" s="10"/>
      <c r="K341" s="86"/>
      <c r="M341" s="11"/>
    </row>
    <row r="342" spans="7:13" s="9" customFormat="1" ht="12.75" customHeight="1">
      <c r="G342" s="10"/>
      <c r="I342" s="10"/>
      <c r="J342" s="10"/>
      <c r="K342" s="86"/>
      <c r="M342" s="11"/>
    </row>
    <row r="343" spans="7:13" s="9" customFormat="1" ht="12.75" customHeight="1">
      <c r="G343" s="10"/>
      <c r="I343" s="10"/>
      <c r="J343" s="10"/>
      <c r="K343" s="86"/>
      <c r="M343" s="11"/>
    </row>
    <row r="344" spans="7:13" s="9" customFormat="1" ht="12.75" customHeight="1">
      <c r="G344" s="10"/>
      <c r="I344" s="10"/>
      <c r="J344" s="10"/>
      <c r="K344" s="86"/>
      <c r="M344" s="11"/>
    </row>
    <row r="345" spans="7:13" s="9" customFormat="1" ht="12.75" customHeight="1">
      <c r="G345" s="10"/>
      <c r="I345" s="10"/>
      <c r="J345" s="10"/>
      <c r="K345" s="86"/>
      <c r="M345" s="11"/>
    </row>
    <row r="346" spans="7:13" s="9" customFormat="1" ht="12.75" customHeight="1">
      <c r="G346" s="10"/>
      <c r="I346" s="10"/>
      <c r="J346" s="10"/>
      <c r="K346" s="86"/>
      <c r="M346" s="11"/>
    </row>
    <row r="347" spans="7:13" s="9" customFormat="1" ht="12.75" customHeight="1">
      <c r="G347" s="10"/>
      <c r="I347" s="10"/>
      <c r="J347" s="10"/>
      <c r="K347" s="86"/>
      <c r="M347" s="11"/>
    </row>
    <row r="348" spans="7:13" s="9" customFormat="1" ht="12.75" customHeight="1">
      <c r="G348" s="10"/>
      <c r="I348" s="10"/>
      <c r="J348" s="10"/>
      <c r="K348" s="86"/>
      <c r="M348" s="11"/>
    </row>
    <row r="349" spans="7:13" s="9" customFormat="1" ht="12.75" customHeight="1">
      <c r="G349" s="10"/>
      <c r="I349" s="10"/>
      <c r="J349" s="10"/>
      <c r="K349" s="86"/>
      <c r="M349" s="11"/>
    </row>
    <row r="350" spans="7:13" s="9" customFormat="1" ht="12.75" customHeight="1">
      <c r="G350" s="10"/>
      <c r="I350" s="10"/>
      <c r="J350" s="10"/>
      <c r="K350" s="86"/>
      <c r="M350" s="11"/>
    </row>
    <row r="351" spans="7:13" s="9" customFormat="1" ht="12.75" customHeight="1">
      <c r="G351" s="10"/>
      <c r="I351" s="10"/>
      <c r="J351" s="10"/>
      <c r="K351" s="86"/>
      <c r="M351" s="11"/>
    </row>
    <row r="352" spans="7:13" s="9" customFormat="1" ht="12.75" customHeight="1">
      <c r="G352" s="10"/>
      <c r="I352" s="10"/>
      <c r="J352" s="10"/>
      <c r="K352" s="86"/>
      <c r="M352" s="11"/>
    </row>
    <row r="353" spans="7:13" s="9" customFormat="1" ht="12.75" customHeight="1">
      <c r="G353" s="10"/>
      <c r="I353" s="10"/>
      <c r="J353" s="10"/>
      <c r="K353" s="86"/>
      <c r="M353" s="11"/>
    </row>
    <row r="354" spans="7:13" s="9" customFormat="1" ht="12.75" customHeight="1">
      <c r="G354" s="10"/>
      <c r="I354" s="10"/>
      <c r="J354" s="10"/>
      <c r="K354" s="86"/>
      <c r="M354" s="11"/>
    </row>
    <row r="355" spans="7:13" s="9" customFormat="1" ht="12.75" customHeight="1">
      <c r="G355" s="10"/>
      <c r="I355" s="10"/>
      <c r="J355" s="10"/>
      <c r="K355" s="86"/>
      <c r="M355" s="11"/>
    </row>
    <row r="356" spans="7:13" s="9" customFormat="1" ht="12.75" customHeight="1">
      <c r="G356" s="10"/>
      <c r="I356" s="10"/>
      <c r="J356" s="10"/>
      <c r="K356" s="86"/>
      <c r="M356" s="11"/>
    </row>
    <row r="357" spans="7:13" s="9" customFormat="1" ht="12.75" customHeight="1">
      <c r="G357" s="10"/>
      <c r="I357" s="10"/>
      <c r="J357" s="10"/>
      <c r="K357" s="86"/>
      <c r="M357" s="11"/>
    </row>
    <row r="358" spans="7:13" s="9" customFormat="1" ht="12.75" customHeight="1">
      <c r="G358" s="10"/>
      <c r="I358" s="10"/>
      <c r="J358" s="10"/>
      <c r="K358" s="86"/>
      <c r="M358" s="11"/>
    </row>
    <row r="359" spans="7:13" s="9" customFormat="1" ht="12.75" customHeight="1">
      <c r="G359" s="10"/>
      <c r="I359" s="10"/>
      <c r="J359" s="10"/>
      <c r="K359" s="86"/>
      <c r="M359" s="11"/>
    </row>
    <row r="360" spans="7:13" s="9" customFormat="1" ht="12.75" customHeight="1">
      <c r="G360" s="10"/>
      <c r="I360" s="10"/>
      <c r="J360" s="10"/>
      <c r="K360" s="86"/>
      <c r="M360" s="11"/>
    </row>
    <row r="361" spans="7:13" s="9" customFormat="1" ht="12.75" customHeight="1">
      <c r="G361" s="10"/>
      <c r="I361" s="10"/>
      <c r="J361" s="10"/>
      <c r="K361" s="86"/>
      <c r="M361" s="11"/>
    </row>
    <row r="362" spans="7:13" s="9" customFormat="1" ht="12.75" customHeight="1">
      <c r="G362" s="10"/>
      <c r="I362" s="10"/>
      <c r="J362" s="10"/>
      <c r="K362" s="86"/>
      <c r="M362" s="11"/>
    </row>
    <row r="363" spans="7:13" s="9" customFormat="1" ht="12.75" customHeight="1">
      <c r="G363" s="10"/>
      <c r="I363" s="10"/>
      <c r="J363" s="10"/>
      <c r="K363" s="86"/>
      <c r="M363" s="11"/>
    </row>
    <row r="364" spans="7:13" s="9" customFormat="1" ht="12.75" customHeight="1">
      <c r="G364" s="10"/>
      <c r="I364" s="10"/>
      <c r="J364" s="10"/>
      <c r="K364" s="86"/>
      <c r="M364" s="11"/>
    </row>
    <row r="365" spans="7:13" s="9" customFormat="1" ht="12.75" customHeight="1">
      <c r="G365" s="10"/>
      <c r="I365" s="10"/>
      <c r="J365" s="10"/>
      <c r="K365" s="86"/>
      <c r="M365" s="11"/>
    </row>
    <row r="366" spans="7:13" s="9" customFormat="1" ht="12.75" customHeight="1">
      <c r="G366" s="10"/>
      <c r="I366" s="10"/>
      <c r="J366" s="10"/>
      <c r="K366" s="86"/>
      <c r="M366" s="11"/>
    </row>
    <row r="367" spans="7:13" s="9" customFormat="1" ht="12.75" customHeight="1">
      <c r="G367" s="10"/>
      <c r="I367" s="10"/>
      <c r="J367" s="10"/>
      <c r="K367" s="86"/>
      <c r="M367" s="11"/>
    </row>
    <row r="368" spans="7:13" s="9" customFormat="1" ht="12.75" customHeight="1">
      <c r="G368" s="10"/>
      <c r="I368" s="10"/>
      <c r="J368" s="10"/>
      <c r="K368" s="86"/>
      <c r="M368" s="11"/>
    </row>
    <row r="369" spans="7:13" s="9" customFormat="1" ht="12.75" customHeight="1">
      <c r="G369" s="10"/>
      <c r="I369" s="10"/>
      <c r="J369" s="10"/>
      <c r="K369" s="86"/>
      <c r="M369" s="11"/>
    </row>
    <row r="370" spans="7:13" s="9" customFormat="1" ht="12.75" customHeight="1">
      <c r="G370" s="10"/>
      <c r="I370" s="10"/>
      <c r="J370" s="10"/>
      <c r="K370" s="86"/>
      <c r="M370" s="11"/>
    </row>
    <row r="371" spans="7:13" s="9" customFormat="1" ht="12.75" customHeight="1">
      <c r="G371" s="10"/>
      <c r="I371" s="10"/>
      <c r="J371" s="10"/>
      <c r="K371" s="86"/>
      <c r="M371" s="11"/>
    </row>
    <row r="372" spans="7:13" s="9" customFormat="1" ht="12.75" customHeight="1">
      <c r="G372" s="10"/>
      <c r="I372" s="10"/>
      <c r="J372" s="10"/>
      <c r="K372" s="86"/>
      <c r="M372" s="11"/>
    </row>
    <row r="373" spans="7:13" s="9" customFormat="1" ht="12.75" customHeight="1">
      <c r="G373" s="10"/>
      <c r="I373" s="10"/>
      <c r="J373" s="10"/>
      <c r="K373" s="86"/>
      <c r="M373" s="11"/>
    </row>
    <row r="374" spans="7:13" s="9" customFormat="1" ht="12.75" customHeight="1">
      <c r="G374" s="10"/>
      <c r="I374" s="10"/>
      <c r="J374" s="10"/>
      <c r="K374" s="86"/>
      <c r="M374" s="11"/>
    </row>
    <row r="375" spans="7:13" s="9" customFormat="1" ht="12.75" customHeight="1">
      <c r="G375" s="10"/>
      <c r="I375" s="10"/>
      <c r="J375" s="10"/>
      <c r="K375" s="86"/>
      <c r="M375" s="11"/>
    </row>
    <row r="376" spans="7:13" s="9" customFormat="1" ht="12.75" customHeight="1">
      <c r="G376" s="10"/>
      <c r="I376" s="10"/>
      <c r="J376" s="10"/>
      <c r="K376" s="86"/>
      <c r="M376" s="11"/>
    </row>
    <row r="377" spans="7:13" s="9" customFormat="1" ht="12.75" customHeight="1">
      <c r="G377" s="10"/>
      <c r="I377" s="10"/>
      <c r="J377" s="10"/>
      <c r="K377" s="86"/>
      <c r="M377" s="11"/>
    </row>
    <row r="378" spans="7:13" s="9" customFormat="1" ht="12.75" customHeight="1">
      <c r="G378" s="10"/>
      <c r="I378" s="10"/>
      <c r="J378" s="10"/>
      <c r="K378" s="86"/>
      <c r="M378" s="11"/>
    </row>
    <row r="379" spans="7:13" s="9" customFormat="1" ht="12.75" customHeight="1">
      <c r="G379" s="10"/>
      <c r="I379" s="10"/>
      <c r="J379" s="10"/>
      <c r="K379" s="86"/>
      <c r="M379" s="11"/>
    </row>
    <row r="380" spans="7:13" s="9" customFormat="1" ht="12.75" customHeight="1">
      <c r="G380" s="10"/>
      <c r="I380" s="10"/>
      <c r="J380" s="10"/>
      <c r="K380" s="86"/>
      <c r="M380" s="11"/>
    </row>
    <row r="381" spans="7:13" s="9" customFormat="1" ht="12.75" customHeight="1">
      <c r="G381" s="10"/>
      <c r="I381" s="10"/>
      <c r="J381" s="10"/>
      <c r="K381" s="86"/>
      <c r="M381" s="11"/>
    </row>
    <row r="382" spans="7:13" s="9" customFormat="1" ht="12.75" customHeight="1">
      <c r="G382" s="10"/>
      <c r="I382" s="10"/>
      <c r="J382" s="10"/>
      <c r="K382" s="86"/>
      <c r="M382" s="11"/>
    </row>
    <row r="383" spans="7:13" s="9" customFormat="1" ht="12.75" customHeight="1">
      <c r="G383" s="10"/>
      <c r="I383" s="10"/>
      <c r="J383" s="10"/>
      <c r="K383" s="86"/>
      <c r="M383" s="11"/>
    </row>
    <row r="384" spans="7:13" s="9" customFormat="1" ht="12.75" customHeight="1">
      <c r="G384" s="10"/>
      <c r="I384" s="10"/>
      <c r="J384" s="10"/>
      <c r="K384" s="86"/>
      <c r="M384" s="11"/>
    </row>
    <row r="385" spans="7:13" s="9" customFormat="1" ht="12.75" customHeight="1">
      <c r="G385" s="10"/>
      <c r="I385" s="10"/>
      <c r="J385" s="10"/>
      <c r="K385" s="86"/>
      <c r="M385" s="11"/>
    </row>
    <row r="386" spans="7:13" s="9" customFormat="1" ht="12.75" customHeight="1">
      <c r="G386" s="10"/>
      <c r="I386" s="10"/>
      <c r="J386" s="10"/>
      <c r="K386" s="86"/>
      <c r="M386" s="11"/>
    </row>
  </sheetData>
  <mergeCells count="4">
    <mergeCell ref="AF15:AH15"/>
    <mergeCell ref="B45:E45"/>
    <mergeCell ref="C42:D42"/>
    <mergeCell ref="B46:E46"/>
  </mergeCells>
  <printOptions gridLines="1" horizontalCentered="1"/>
  <pageMargins left="0.31496062992126" right="0.31496062992126" top="0.64" bottom="0.53" header="0.44" footer="0.27"/>
  <pageSetup fitToHeight="4" fitToWidth="4" orientation="landscape" paperSize="9" r:id="rId3"/>
  <headerFooter alignWithMargins="0">
    <oddHeader>&amp;C&amp;"Times New Roman Cyr,Regular"&amp;9Теплотехнические расчеты согл.  СНИП-II-3-79*</oddHeader>
    <oddFooter>&amp;CPage &amp;P&amp;R&amp;D       &amp;T</oddFooter>
  </headerFooter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90"/>
  <sheetViews>
    <sheetView workbookViewId="0" topLeftCell="A1">
      <selection activeCell="D44" sqref="D44"/>
    </sheetView>
  </sheetViews>
  <sheetFormatPr defaultColWidth="9.140625" defaultRowHeight="12.75" customHeight="1"/>
  <cols>
    <col min="1" max="1" width="3.7109375" style="0" customWidth="1"/>
    <col min="2" max="2" width="23.8515625" style="0" customWidth="1"/>
    <col min="3" max="3" width="8.7109375" style="0" customWidth="1"/>
    <col min="4" max="4" width="7.421875" style="0" customWidth="1"/>
    <col min="5" max="5" width="6.140625" style="0" customWidth="1"/>
    <col min="6" max="6" width="7.28125" style="0" customWidth="1"/>
    <col min="7" max="7" width="5.8515625" style="1" customWidth="1"/>
    <col min="8" max="8" width="5.8515625" style="0" customWidth="1"/>
    <col min="9" max="10" width="5.8515625" style="1" customWidth="1"/>
    <col min="11" max="11" width="5.8515625" style="40" customWidth="1"/>
    <col min="12" max="12" width="5.8515625" style="0" customWidth="1"/>
    <col min="13" max="13" width="5.8515625" style="2" customWidth="1"/>
    <col min="14" max="14" width="5.8515625" style="0" customWidth="1"/>
    <col min="15" max="15" width="4.8515625" style="0" customWidth="1"/>
    <col min="16" max="16" width="7.00390625" style="0" customWidth="1"/>
    <col min="17" max="18" width="4.57421875" style="0" customWidth="1"/>
    <col min="19" max="19" width="5.28125" style="0" customWidth="1"/>
    <col min="20" max="20" width="9.28125" style="0" customWidth="1"/>
    <col min="21" max="21" width="3.140625" style="0" customWidth="1"/>
    <col min="22" max="22" width="2.140625" style="0" customWidth="1"/>
    <col min="23" max="23" width="3.8515625" style="0" customWidth="1"/>
    <col min="24" max="24" width="5.00390625" style="0" customWidth="1"/>
    <col min="25" max="25" width="4.421875" style="0" customWidth="1"/>
    <col min="26" max="26" width="5.421875" style="0" customWidth="1"/>
    <col min="27" max="27" width="6.00390625" style="0" customWidth="1"/>
    <col min="28" max="28" width="6.57421875" style="0" customWidth="1"/>
    <col min="29" max="29" width="7.00390625" style="0" customWidth="1"/>
    <col min="30" max="30" width="6.7109375" style="0" customWidth="1"/>
    <col min="31" max="31" width="6.28125" style="0" customWidth="1"/>
    <col min="32" max="32" width="3.140625" style="0" customWidth="1"/>
    <col min="33" max="33" width="4.421875" style="0" customWidth="1"/>
  </cols>
  <sheetData>
    <row r="1" spans="1:32" s="207" customFormat="1" ht="12.75" customHeight="1">
      <c r="A1" s="192"/>
      <c r="B1" s="265"/>
      <c r="C1" s="194"/>
      <c r="D1" s="194"/>
      <c r="E1" s="194"/>
      <c r="F1" s="194"/>
      <c r="G1" s="236"/>
      <c r="H1" s="194"/>
      <c r="I1" s="236"/>
      <c r="J1" s="236"/>
      <c r="K1" s="234"/>
      <c r="L1" s="192"/>
      <c r="M1" s="235"/>
      <c r="N1" s="192"/>
      <c r="O1" s="192"/>
      <c r="P1" s="192"/>
      <c r="Q1" s="192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:32" s="207" customFormat="1" ht="13.5" customHeight="1">
      <c r="A2" s="171"/>
      <c r="B2" s="171"/>
      <c r="C2" s="601" t="s">
        <v>111</v>
      </c>
      <c r="D2" s="171"/>
      <c r="E2" s="171"/>
      <c r="F2" s="171"/>
      <c r="G2" s="171"/>
      <c r="H2" s="171"/>
      <c r="I2" s="171"/>
      <c r="J2" s="171"/>
      <c r="K2" s="174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s="207" customFormat="1" ht="13.5" customHeight="1">
      <c r="A3" s="171"/>
      <c r="B3" s="171"/>
      <c r="C3" s="172"/>
      <c r="D3" s="171"/>
      <c r="E3" s="171"/>
      <c r="F3" s="171"/>
      <c r="G3" s="171"/>
      <c r="H3" s="171"/>
      <c r="I3" s="171"/>
      <c r="J3" s="171"/>
      <c r="K3" s="174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</row>
    <row r="4" spans="1:75" s="207" customFormat="1" ht="12.75" customHeight="1">
      <c r="A4" s="171"/>
      <c r="B4" s="266" t="s">
        <v>112</v>
      </c>
      <c r="C4" s="368" t="s">
        <v>113</v>
      </c>
      <c r="D4" s="369" t="s">
        <v>114</v>
      </c>
      <c r="E4" s="370" t="s">
        <v>50</v>
      </c>
      <c r="F4" s="369" t="s">
        <v>115</v>
      </c>
      <c r="G4" s="370" t="s">
        <v>52</v>
      </c>
      <c r="H4" s="369" t="s">
        <v>116</v>
      </c>
      <c r="I4" s="370" t="s">
        <v>54</v>
      </c>
      <c r="J4" s="369" t="s">
        <v>117</v>
      </c>
      <c r="K4" s="370" t="s">
        <v>56</v>
      </c>
      <c r="L4" s="369" t="s">
        <v>118</v>
      </c>
      <c r="M4" s="370" t="s">
        <v>58</v>
      </c>
      <c r="N4" s="369" t="s">
        <v>119</v>
      </c>
      <c r="O4" s="370" t="s">
        <v>856</v>
      </c>
      <c r="P4" s="369" t="s">
        <v>860</v>
      </c>
      <c r="Q4" s="371" t="s">
        <v>61</v>
      </c>
      <c r="R4" s="220"/>
      <c r="S4" s="171"/>
      <c r="T4" s="171"/>
      <c r="U4" s="171"/>
      <c r="V4" s="171"/>
      <c r="W4" s="171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</row>
    <row r="5" spans="1:75" s="207" customFormat="1" ht="12.75" customHeight="1">
      <c r="A5" s="192"/>
      <c r="B5" s="273"/>
      <c r="C5" s="274">
        <f>1Tепло!D26</f>
        <v>0.43</v>
      </c>
      <c r="D5" s="226">
        <f>1Tепло!G16</f>
        <v>0.06</v>
      </c>
      <c r="E5" s="274">
        <f>1Tепло!F26</f>
        <v>0</v>
      </c>
      <c r="F5" s="226">
        <f>1Tепло!G17</f>
        <v>0</v>
      </c>
      <c r="G5" s="275">
        <f>1Tепло!H26</f>
        <v>0</v>
      </c>
      <c r="H5" s="226">
        <f>1Tепло!G18</f>
        <v>0</v>
      </c>
      <c r="I5" s="274">
        <f>1Tепло!J26</f>
        <v>0</v>
      </c>
      <c r="J5" s="226">
        <f>1Tепло!G19</f>
        <v>0</v>
      </c>
      <c r="K5" s="275">
        <f>1Tепло!L26</f>
        <v>0</v>
      </c>
      <c r="L5" s="226">
        <f>1Tепло!G20</f>
        <v>0</v>
      </c>
      <c r="M5" s="274">
        <f>1Tепло!N26</f>
        <v>0</v>
      </c>
      <c r="N5" s="226">
        <f>1Tепло!G21</f>
        <v>0</v>
      </c>
      <c r="O5" s="274">
        <f>1Tепло!P26</f>
        <v>0</v>
      </c>
      <c r="P5" s="226">
        <f>1Tепло!G22</f>
        <v>0</v>
      </c>
      <c r="Q5" s="271" t="s">
        <v>61</v>
      </c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</row>
    <row r="6" spans="1:73" s="207" customFormat="1" ht="12.75" customHeight="1">
      <c r="A6" s="192"/>
      <c r="B6" s="266" t="s">
        <v>112</v>
      </c>
      <c r="C6" s="198"/>
      <c r="D6" s="230">
        <f>C$5/D$5</f>
        <v>7.166666666666667</v>
      </c>
      <c r="E6" s="229" t="s">
        <v>78</v>
      </c>
      <c r="F6" s="230">
        <f>IF('[1]1Tепло'!Z17&lt;6,0)+IF('[1]1Tепло'!Z17&gt;6,IF(F5=0,0,E5/F5))</f>
        <v>0</v>
      </c>
      <c r="G6" s="229" t="s">
        <v>78</v>
      </c>
      <c r="H6" s="230">
        <f>IF('[1]1Tепло'!Z18&lt;6,0)+IF('[1]1Tепло'!Z18&gt;6,IF(H5=0,0,G5/H5))</f>
        <v>0</v>
      </c>
      <c r="I6" s="229" t="s">
        <v>77</v>
      </c>
      <c r="J6" s="230">
        <f>IF('[1]1Tепло'!Z19&lt;6,0)+IF('[1]1Tепло'!Z19&gt;6,IF(J5=0,0,I5/J5))</f>
        <v>0</v>
      </c>
      <c r="K6" s="217" t="s">
        <v>79</v>
      </c>
      <c r="L6" s="230">
        <f>IF('[1]1Tепло'!Z20&lt;6,0)+IF('[1]1Tепло'!Z20&gt;6,IF(L5=0,0,K5/L5))</f>
        <v>0</v>
      </c>
      <c r="M6" s="229" t="s">
        <v>77</v>
      </c>
      <c r="N6" s="276">
        <f>IF('[1]1Tепло'!Z21&lt;6,0)+IF('[1]1Tепло'!Z21&gt;6,O5/P5)</f>
        <v>0</v>
      </c>
      <c r="O6" s="271" t="s">
        <v>61</v>
      </c>
      <c r="P6" s="230">
        <f>D6+F6+H6+J6+L6+N6</f>
        <v>7.166666666666667</v>
      </c>
      <c r="Q6" s="255" t="s">
        <v>120</v>
      </c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</row>
    <row r="7" spans="1:73" s="207" customFormat="1" ht="12.75" customHeight="1" thickBot="1">
      <c r="A7" s="192"/>
      <c r="B7" s="277" t="s">
        <v>121</v>
      </c>
      <c r="C7" s="205"/>
      <c r="D7" s="205"/>
      <c r="E7" s="205"/>
      <c r="F7" s="205"/>
      <c r="G7" s="278"/>
      <c r="H7" s="279"/>
      <c r="I7" s="280"/>
      <c r="J7" s="280"/>
      <c r="K7" s="206"/>
      <c r="L7" s="203"/>
      <c r="M7" s="281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192"/>
      <c r="Z7" s="192"/>
      <c r="AA7" s="192"/>
      <c r="AB7" s="192"/>
      <c r="AC7" s="192"/>
      <c r="AD7" s="192"/>
      <c r="AE7" s="192"/>
      <c r="AF7" s="19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</row>
    <row r="8" spans="1:73" s="207" customFormat="1" ht="12.75" customHeight="1" thickBot="1">
      <c r="A8" s="192"/>
      <c r="B8" s="266" t="s">
        <v>122</v>
      </c>
      <c r="C8" s="456">
        <f>IF(D69=2,SUM(D6+F6))+IF(D69=3,SUM(D6+F6+H6))+IF(D69=4,SUM(D6+F6+H6+J6))+IF(D69=5,SUM(D6+F6+H6+J6+L6))</f>
        <v>0</v>
      </c>
      <c r="D8" s="363" t="s">
        <v>123</v>
      </c>
      <c r="E8" s="364"/>
      <c r="F8" s="276"/>
      <c r="G8" s="229"/>
      <c r="H8" s="276"/>
      <c r="I8" s="229"/>
      <c r="J8" s="276"/>
      <c r="K8" s="283"/>
      <c r="L8" s="192"/>
      <c r="M8" s="235"/>
      <c r="N8" s="192"/>
      <c r="O8" s="271"/>
      <c r="P8" s="175"/>
      <c r="Q8" s="171"/>
      <c r="R8" s="192"/>
      <c r="S8" s="192"/>
      <c r="T8" s="192"/>
      <c r="U8" s="203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</row>
    <row r="9" spans="1:32" s="272" customFormat="1" ht="12.75" customHeight="1">
      <c r="A9" s="171"/>
      <c r="B9" s="217"/>
      <c r="C9" s="198"/>
      <c r="D9" s="230"/>
      <c r="E9" s="229"/>
      <c r="F9" s="230"/>
      <c r="G9" s="229"/>
      <c r="H9" s="230"/>
      <c r="I9" s="229"/>
      <c r="J9" s="230"/>
      <c r="K9" s="217"/>
      <c r="L9" s="171"/>
      <c r="M9" s="171"/>
      <c r="N9" s="171"/>
      <c r="O9" s="175"/>
      <c r="P9" s="171"/>
      <c r="Q9" s="171"/>
      <c r="R9" s="171"/>
      <c r="S9" s="171"/>
      <c r="T9" s="171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</row>
    <row r="10" spans="1:73" s="207" customFormat="1" ht="12.75" customHeight="1">
      <c r="A10" s="171"/>
      <c r="B10" s="277" t="s">
        <v>124</v>
      </c>
      <c r="C10" s="203"/>
      <c r="D10" s="205"/>
      <c r="E10" s="205"/>
      <c r="F10" s="205"/>
      <c r="G10" s="280"/>
      <c r="H10" s="205"/>
      <c r="I10" s="280"/>
      <c r="J10" s="280"/>
      <c r="K10" s="206"/>
      <c r="L10" s="203"/>
      <c r="M10" s="281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192"/>
      <c r="Z10" s="192"/>
      <c r="AA10" s="192"/>
      <c r="AB10" s="192"/>
      <c r="AC10" s="192"/>
      <c r="AD10" s="192"/>
      <c r="AE10" s="192"/>
      <c r="AF10" s="19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</row>
    <row r="11" spans="1:73" s="207" customFormat="1" ht="12.75" customHeight="1" thickBot="1">
      <c r="A11" s="171"/>
      <c r="B11" s="205" t="s">
        <v>125</v>
      </c>
      <c r="C11" s="205"/>
      <c r="D11" s="284"/>
      <c r="E11" s="205"/>
      <c r="F11" s="205"/>
      <c r="G11" s="280"/>
      <c r="H11" s="205"/>
      <c r="I11" s="280"/>
      <c r="J11" s="280"/>
      <c r="K11" s="206"/>
      <c r="L11" s="203"/>
      <c r="M11" s="281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192"/>
      <c r="Z11" s="457" t="s">
        <v>126</v>
      </c>
      <c r="AA11" s="192">
        <f>IF(D69=2,F6)+IF(D69=3,H6)+IF(D69=4,J6)+IF(D69=5,L6)+IF(D69=6,N6)</f>
        <v>0</v>
      </c>
      <c r="AB11" s="192"/>
      <c r="AC11" s="192"/>
      <c r="AD11" s="192"/>
      <c r="AE11" s="192"/>
      <c r="AF11" s="19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</row>
    <row r="12" spans="1:73" s="207" customFormat="1" ht="12.75" customHeight="1" thickBot="1">
      <c r="A12" s="171"/>
      <c r="B12" s="266" t="s">
        <v>127</v>
      </c>
      <c r="C12" s="721">
        <f>IF(AA12&gt;0,AA12)+IF(AA12=0,AA11/3)</f>
        <v>0</v>
      </c>
      <c r="D12" s="363" t="s">
        <v>123</v>
      </c>
      <c r="E12" s="203"/>
      <c r="F12" s="192"/>
      <c r="G12" s="192"/>
      <c r="H12" s="192"/>
      <c r="I12" s="192"/>
      <c r="J12" s="192"/>
      <c r="K12" s="234"/>
      <c r="L12" s="230"/>
      <c r="M12" s="229"/>
      <c r="N12" s="230"/>
      <c r="O12" s="271"/>
      <c r="P12" s="171"/>
      <c r="Q12" s="171"/>
      <c r="R12" s="192"/>
      <c r="S12" s="171"/>
      <c r="T12" s="171"/>
      <c r="U12" s="192"/>
      <c r="V12" s="192"/>
      <c r="W12" s="192"/>
      <c r="X12" s="192"/>
      <c r="Y12" s="192"/>
      <c r="Z12" s="457" t="s">
        <v>127</v>
      </c>
      <c r="AA12" s="456">
        <f>IF(D69=2,SUM(H6+J6+L6+N6))+IF(D69=3,SUM(J6+L6+N6))+IF(D69=4,SUM(L6+N6))+IF(D69=5,N6)</f>
        <v>0</v>
      </c>
      <c r="AB12" s="192"/>
      <c r="AC12" s="192"/>
      <c r="AD12" s="192"/>
      <c r="AE12" s="192"/>
      <c r="AF12" s="19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</row>
    <row r="13" spans="1:73" s="207" customFormat="1" ht="12.75" customHeight="1">
      <c r="A13" s="171"/>
      <c r="B13" s="171"/>
      <c r="C13" s="171"/>
      <c r="D13" s="171"/>
      <c r="E13" s="171"/>
      <c r="F13" s="192"/>
      <c r="G13" s="192"/>
      <c r="H13" s="192"/>
      <c r="I13" s="192"/>
      <c r="J13" s="192"/>
      <c r="K13" s="234"/>
      <c r="L13" s="171"/>
      <c r="M13" s="192"/>
      <c r="N13" s="171"/>
      <c r="O13" s="192"/>
      <c r="P13" s="192"/>
      <c r="Q13" s="192"/>
      <c r="R13" s="192"/>
      <c r="S13" s="171"/>
      <c r="T13" s="171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</row>
    <row r="14" spans="1:73" s="207" customFormat="1" ht="12.75" customHeight="1" thickBot="1">
      <c r="A14" s="192"/>
      <c r="B14" s="192"/>
      <c r="C14" s="203" t="s">
        <v>128</v>
      </c>
      <c r="D14" s="192"/>
      <c r="E14" s="192"/>
      <c r="F14" s="192"/>
      <c r="G14" s="192"/>
      <c r="H14" s="192"/>
      <c r="I14" s="223"/>
      <c r="J14" s="223"/>
      <c r="K14" s="285"/>
      <c r="L14" s="194"/>
      <c r="M14" s="235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</row>
    <row r="15" spans="1:73" s="207" customFormat="1" ht="12.75" customHeight="1">
      <c r="A15" s="192"/>
      <c r="B15" s="192"/>
      <c r="C15" s="286" t="s">
        <v>129</v>
      </c>
      <c r="D15" s="287" t="s">
        <v>130</v>
      </c>
      <c r="E15" s="287" t="s">
        <v>131</v>
      </c>
      <c r="F15" s="287" t="s">
        <v>132</v>
      </c>
      <c r="G15" s="287" t="s">
        <v>133</v>
      </c>
      <c r="H15" s="287" t="s">
        <v>134</v>
      </c>
      <c r="I15" s="287" t="s">
        <v>135</v>
      </c>
      <c r="J15" s="287" t="s">
        <v>136</v>
      </c>
      <c r="K15" s="288" t="s">
        <v>137</v>
      </c>
      <c r="L15" s="287" t="s">
        <v>138</v>
      </c>
      <c r="M15" s="287" t="s">
        <v>139</v>
      </c>
      <c r="N15" s="289" t="s">
        <v>140</v>
      </c>
      <c r="O15" s="234"/>
      <c r="P15" s="171"/>
      <c r="Q15" s="171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</row>
    <row r="16" spans="1:73" s="207" customFormat="1" ht="12.75" customHeight="1" thickBot="1">
      <c r="A16" s="192"/>
      <c r="B16" s="234"/>
      <c r="C16" s="591">
        <f>INDEX(Tab!H171:S241,1Tепло!AD28,1)</f>
        <v>-10.2</v>
      </c>
      <c r="D16" s="592">
        <f>INDEX(Tab!H171:S241,1Tепло!AD28,2)</f>
        <v>-9.2</v>
      </c>
      <c r="E16" s="592">
        <f>INDEX(Tab!H171:S241,1Tепло!AD28,3)</f>
        <v>-4.7</v>
      </c>
      <c r="F16" s="592">
        <f>INDEX(Tab!H171:S241,1Tепло!AD28,4)</f>
        <v>4</v>
      </c>
      <c r="G16" s="592">
        <f>INDEX(Tab!H171:S241,1Tепло!AD28,5)</f>
        <v>11.6</v>
      </c>
      <c r="H16" s="592">
        <f>INDEX(Tab!H171:S241,1Tепло!AD28,6)</f>
        <v>15.8</v>
      </c>
      <c r="I16" s="592">
        <f>INDEX(Tab!H171:S241,1Tепло!AD28,7)</f>
        <v>18.1</v>
      </c>
      <c r="J16" s="592">
        <f>INDEX(Tab!H171:S241,1Tепло!AD28,8)</f>
        <v>16.2</v>
      </c>
      <c r="K16" s="592">
        <f>INDEX(Tab!H171:S241,1Tепло!AD28,9)</f>
        <v>10.6</v>
      </c>
      <c r="L16" s="592">
        <f>INDEX(Tab!H171:S241,1Tепло!AD28,10)</f>
        <v>4.2</v>
      </c>
      <c r="M16" s="592">
        <f>INDEX(Tab!H171:S241,1Tепло!AD28,11)</f>
        <v>-2.2</v>
      </c>
      <c r="N16" s="593">
        <f>INDEX(Tab!H171:S241,1Tепло!AD28,12)</f>
        <v>-7.6</v>
      </c>
      <c r="O16" s="234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</row>
    <row r="17" spans="1:73" s="207" customFormat="1" ht="12.75" customHeight="1" thickBot="1">
      <c r="A17"/>
      <c r="B17" s="203" t="s">
        <v>141</v>
      </c>
      <c r="C17" s="192">
        <f>IF(C16&lt;-5,C16,0)</f>
        <v>-10.2</v>
      </c>
      <c r="D17" s="235">
        <f>IF(D16&lt;-5,D16,0)</f>
        <v>-9.2</v>
      </c>
      <c r="E17" s="192">
        <f>IF(E16&lt;-5,E16,0)</f>
        <v>0</v>
      </c>
      <c r="F17" s="235">
        <f>IF(F16&lt;-5,F16,0)</f>
        <v>0</v>
      </c>
      <c r="G17" s="235">
        <f>IF(G16&lt;-5,G16,0)</f>
        <v>0</v>
      </c>
      <c r="H17" s="235">
        <v>0</v>
      </c>
      <c r="I17" s="235">
        <v>0</v>
      </c>
      <c r="J17" s="235">
        <v>0</v>
      </c>
      <c r="K17" s="262">
        <f>IF(K16&lt;-5,K16,0)</f>
        <v>0</v>
      </c>
      <c r="L17" s="235">
        <f>IF(L16&lt;-5,L16,0)</f>
        <v>0</v>
      </c>
      <c r="M17" s="235">
        <f>IF(M16&lt;-5,M16,0)</f>
        <v>0</v>
      </c>
      <c r="N17" s="194">
        <f>IF(N16&lt;-5,N16,0)</f>
        <v>-7.6</v>
      </c>
      <c r="O17" s="121" t="s">
        <v>142</v>
      </c>
      <c r="P17" s="494">
        <f>SUM(C17:N17)/R17</f>
        <v>-9</v>
      </c>
      <c r="Q17" s="290" t="s">
        <v>143</v>
      </c>
      <c r="R17" s="291">
        <f>COUNTIF(C17:N17,"&lt;&gt;0")</f>
        <v>3</v>
      </c>
      <c r="S17" s="192" t="s">
        <v>144</v>
      </c>
      <c r="T17" s="109"/>
      <c r="U17" s="192"/>
      <c r="V17" s="192"/>
      <c r="W17" s="292"/>
      <c r="X17" s="192"/>
      <c r="Y17" s="192"/>
      <c r="Z17" s="192"/>
      <c r="AA17" s="192"/>
      <c r="AB17" s="192"/>
      <c r="AC17" s="192"/>
      <c r="AD17" s="192"/>
      <c r="AE17" s="192"/>
      <c r="AF17" s="19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</row>
    <row r="18" spans="1:73" s="207" customFormat="1" ht="12.75" customHeight="1" thickBot="1">
      <c r="A18"/>
      <c r="B18" s="203" t="s">
        <v>145</v>
      </c>
      <c r="C18" s="293">
        <f>IF(AND(C16&gt;-5,C16&lt;5),C16)+IF(AND(C16&lt;-5,C16&gt;5),0)</f>
        <v>0</v>
      </c>
      <c r="D18" s="235">
        <f>IF(AND(D16&gt;-5,D16&lt;5),D16)+IF(AND(D16&lt;-5,D16&gt;5),0)</f>
        <v>0</v>
      </c>
      <c r="E18" s="235">
        <f>IF(AND(E16&gt;-5,E16&lt;5),E16)+IF(AND(E16&lt;-5,E16&gt;5),0)</f>
        <v>-4.7</v>
      </c>
      <c r="F18" s="192">
        <f>IF(AND(F16&gt;-5,F16&lt;5),F16)+IF(AND(F16&lt;-5,F16&gt;5),0)</f>
        <v>4</v>
      </c>
      <c r="G18" s="235">
        <f>IF(AND(G16&gt;-5,G16&lt;5),G16)+IF(AND(G16&lt;-5,G16&gt;5),0)</f>
        <v>0</v>
      </c>
      <c r="H18" s="235">
        <v>0</v>
      </c>
      <c r="I18" s="235">
        <f aca="true" t="shared" si="0" ref="I18:N18">IF(AND(I16&gt;-5,I16&lt;5),I16)+IF(AND(I16&lt;-5,I16&gt;5),0)</f>
        <v>0</v>
      </c>
      <c r="J18" s="235">
        <f t="shared" si="0"/>
        <v>0</v>
      </c>
      <c r="K18" s="262">
        <f t="shared" si="0"/>
        <v>0</v>
      </c>
      <c r="L18" s="221">
        <f t="shared" si="0"/>
        <v>4.2</v>
      </c>
      <c r="M18" s="235">
        <f t="shared" si="0"/>
        <v>-2.2</v>
      </c>
      <c r="N18" s="235">
        <f t="shared" si="0"/>
        <v>0</v>
      </c>
      <c r="O18" s="121" t="s">
        <v>142</v>
      </c>
      <c r="P18" s="494">
        <f>SUM(C18:N18)/R18</f>
        <v>0.32499999999999996</v>
      </c>
      <c r="Q18" s="290" t="s">
        <v>146</v>
      </c>
      <c r="R18" s="291">
        <f>COUNTIF(C18:N18,"&lt;&gt;0")</f>
        <v>4</v>
      </c>
      <c r="S18" s="192" t="s">
        <v>144</v>
      </c>
      <c r="T18" s="109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</row>
    <row r="19" spans="1:73" s="207" customFormat="1" ht="12.75" customHeight="1" thickBot="1">
      <c r="A19"/>
      <c r="B19" s="203" t="s">
        <v>147</v>
      </c>
      <c r="C19" s="294">
        <f aca="true" t="shared" si="1" ref="C19:N19">IF(C16&gt;5,C16,0)</f>
        <v>0</v>
      </c>
      <c r="D19" s="294">
        <f t="shared" si="1"/>
        <v>0</v>
      </c>
      <c r="E19" s="294">
        <f t="shared" si="1"/>
        <v>0</v>
      </c>
      <c r="F19" s="294">
        <f t="shared" si="1"/>
        <v>0</v>
      </c>
      <c r="G19" s="294">
        <f t="shared" si="1"/>
        <v>11.6</v>
      </c>
      <c r="H19" s="295">
        <f t="shared" si="1"/>
        <v>15.8</v>
      </c>
      <c r="I19" s="295">
        <f t="shared" si="1"/>
        <v>18.1</v>
      </c>
      <c r="J19" s="294">
        <f t="shared" si="1"/>
        <v>16.2</v>
      </c>
      <c r="K19" s="295">
        <f t="shared" si="1"/>
        <v>10.6</v>
      </c>
      <c r="L19" s="295">
        <f t="shared" si="1"/>
        <v>0</v>
      </c>
      <c r="M19" s="294">
        <f t="shared" si="1"/>
        <v>0</v>
      </c>
      <c r="N19" s="294">
        <f t="shared" si="1"/>
        <v>0</v>
      </c>
      <c r="O19" s="121" t="s">
        <v>142</v>
      </c>
      <c r="P19" s="494">
        <f>SUM(C19:N19)/R19</f>
        <v>14.459999999999999</v>
      </c>
      <c r="Q19" s="290" t="s">
        <v>148</v>
      </c>
      <c r="R19" s="291">
        <f>COUNTIF(C19:N19,"&lt;&gt;0")</f>
        <v>5</v>
      </c>
      <c r="S19" s="192" t="s">
        <v>144</v>
      </c>
      <c r="T19" s="109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</row>
    <row r="20" spans="1:73" s="207" customFormat="1" ht="12.75" customHeight="1" thickBot="1">
      <c r="A20"/>
      <c r="B20" s="203" t="s">
        <v>149</v>
      </c>
      <c r="C20" s="192">
        <f>IF(C16&lt;0,C16,0)</f>
        <v>-10.2</v>
      </c>
      <c r="D20" s="296">
        <f>IF(D16&lt;0,D16,0)</f>
        <v>-9.2</v>
      </c>
      <c r="E20" s="235">
        <f>IF(E16&lt;0,E16,0)</f>
        <v>-4.7</v>
      </c>
      <c r="F20" s="296">
        <f>IF(F16&lt;0,F16,0)</f>
        <v>0</v>
      </c>
      <c r="G20" s="235">
        <f>IF(G16&lt;0,G16,0)</f>
        <v>0</v>
      </c>
      <c r="H20" s="296">
        <v>0</v>
      </c>
      <c r="I20" s="296">
        <v>0</v>
      </c>
      <c r="J20" s="296">
        <v>0</v>
      </c>
      <c r="K20" s="297">
        <f>IF(K16&lt;0,K16,0)</f>
        <v>0</v>
      </c>
      <c r="L20" s="298">
        <f>IF(L16&lt;0,L16,0)</f>
        <v>0</v>
      </c>
      <c r="M20" s="221">
        <f>IF(M16&lt;0,M16,0)</f>
        <v>-2.2</v>
      </c>
      <c r="N20" s="192">
        <f>IF(N16&lt;0,N16,0)</f>
        <v>-7.6</v>
      </c>
      <c r="O20" s="121" t="s">
        <v>142</v>
      </c>
      <c r="P20" s="494">
        <f>SUM(C20:N20)/R20</f>
        <v>-6.779999999999999</v>
      </c>
      <c r="Q20" s="290" t="s">
        <v>150</v>
      </c>
      <c r="R20" s="299">
        <f>COUNTIF(C20:N20,"&lt;0")</f>
        <v>5</v>
      </c>
      <c r="S20" s="192" t="s">
        <v>144</v>
      </c>
      <c r="T20" s="109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</row>
    <row r="21" spans="1:73" s="207" customFormat="1" ht="12.75" customHeight="1" thickBot="1">
      <c r="A21" s="192"/>
      <c r="B21" s="277" t="s">
        <v>151</v>
      </c>
      <c r="C21" s="203"/>
      <c r="D21" s="373"/>
      <c r="E21" s="203"/>
      <c r="F21" s="374"/>
      <c r="G21" s="203"/>
      <c r="H21" s="300"/>
      <c r="I21" s="300"/>
      <c r="J21" s="197"/>
      <c r="K21" s="285"/>
      <c r="L21" s="301"/>
      <c r="M21" s="302"/>
      <c r="N21" s="303"/>
      <c r="O21" s="303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</row>
    <row r="22" spans="1:32" s="207" customFormat="1" ht="12.75" customHeight="1" thickBot="1">
      <c r="A22"/>
      <c r="B22" s="203" t="s">
        <v>152</v>
      </c>
      <c r="C22" s="375" t="s">
        <v>153</v>
      </c>
      <c r="D22" s="376">
        <f>1Tепло!D7</f>
        <v>22</v>
      </c>
      <c r="E22" s="377" t="s">
        <v>154</v>
      </c>
      <c r="F22" s="392" t="s">
        <v>155</v>
      </c>
      <c r="G22" s="379">
        <f>1Tепло!D8</f>
        <v>65</v>
      </c>
      <c r="H22" s="380" t="s">
        <v>12</v>
      </c>
      <c r="I22" s="378" t="s">
        <v>156</v>
      </c>
      <c r="J22" s="208">
        <f>E36</f>
        <v>2644</v>
      </c>
      <c r="K22" s="208" t="s">
        <v>157</v>
      </c>
      <c r="L22" s="301"/>
      <c r="M22" s="171"/>
      <c r="N22" s="171"/>
      <c r="O22" s="171"/>
      <c r="P22" s="192"/>
      <c r="Q22" s="192"/>
      <c r="R22" s="192"/>
      <c r="S22" s="192"/>
      <c r="T22" s="192"/>
      <c r="U22" s="192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</row>
    <row r="23" spans="1:32" s="207" customFormat="1" ht="12.75" customHeight="1" thickBot="1">
      <c r="A23"/>
      <c r="B23" s="203" t="s">
        <v>158</v>
      </c>
      <c r="C23" s="375" t="s">
        <v>159</v>
      </c>
      <c r="D23" s="381">
        <f>IF(P17&lt;0,P17)+IF(P17=0,1)</f>
        <v>-9</v>
      </c>
      <c r="E23" s="377" t="s">
        <v>154</v>
      </c>
      <c r="F23" s="392" t="s">
        <v>155</v>
      </c>
      <c r="G23" s="382">
        <v>90</v>
      </c>
      <c r="H23" s="380" t="s">
        <v>12</v>
      </c>
      <c r="I23" s="378" t="s">
        <v>160</v>
      </c>
      <c r="J23" s="281">
        <f>E45</f>
        <v>284</v>
      </c>
      <c r="K23" s="208" t="s">
        <v>157</v>
      </c>
      <c r="L23" s="301"/>
      <c r="M23" s="171"/>
      <c r="N23" s="171"/>
      <c r="O23" s="171"/>
      <c r="P23" s="192"/>
      <c r="Q23" s="192"/>
      <c r="R23" s="192"/>
      <c r="S23" s="192"/>
      <c r="T23" s="192"/>
      <c r="U23" s="192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</row>
    <row r="24" spans="1:32" s="207" customFormat="1" ht="12.75" customHeight="1">
      <c r="A24" s="203"/>
      <c r="B24" s="203"/>
      <c r="C24" s="203"/>
      <c r="D24" s="203"/>
      <c r="E24" s="383"/>
      <c r="F24" s="374"/>
      <c r="G24" s="384"/>
      <c r="H24" s="374"/>
      <c r="I24" s="374"/>
      <c r="J24" s="383"/>
      <c r="K24" s="208"/>
      <c r="L24" s="301"/>
      <c r="M24" s="304"/>
      <c r="N24" s="305"/>
      <c r="O24" s="303"/>
      <c r="P24" s="192"/>
      <c r="Q24" s="192"/>
      <c r="R24" s="192"/>
      <c r="S24" s="192"/>
      <c r="T24" s="192"/>
      <c r="U24" s="192"/>
      <c r="V24" s="203"/>
      <c r="W24" s="205"/>
      <c r="X24" s="205"/>
      <c r="Y24" s="205"/>
      <c r="Z24" s="205"/>
      <c r="AA24" s="203"/>
      <c r="AB24" s="203"/>
      <c r="AC24" s="203"/>
      <c r="AD24" s="203"/>
      <c r="AE24" s="203"/>
      <c r="AF24" s="203"/>
    </row>
    <row r="25" spans="1:32" s="207" customFormat="1" ht="12.75" customHeight="1">
      <c r="A25"/>
      <c r="B25" s="203" t="s">
        <v>161</v>
      </c>
      <c r="C25" s="306" t="s">
        <v>162</v>
      </c>
      <c r="D25" s="310" t="s">
        <v>163</v>
      </c>
      <c r="E25" s="385"/>
      <c r="F25" s="386"/>
      <c r="G25" s="203"/>
      <c r="H25" s="203"/>
      <c r="I25" s="374"/>
      <c r="J25" s="387">
        <f>(J22*G22)/100</f>
        <v>1718.6</v>
      </c>
      <c r="K25" s="388" t="s">
        <v>157</v>
      </c>
      <c r="L25" s="197"/>
      <c r="M25" s="221"/>
      <c r="N25" s="307"/>
      <c r="O25" s="192"/>
      <c r="P25" s="192"/>
      <c r="Q25" s="192"/>
      <c r="R25" s="192"/>
      <c r="S25" s="192"/>
      <c r="T25" s="192"/>
      <c r="U25" s="192"/>
      <c r="V25" s="203"/>
      <c r="W25" s="205"/>
      <c r="X25" s="171"/>
      <c r="Y25" s="171"/>
      <c r="Z25" s="171"/>
      <c r="AA25" s="171"/>
      <c r="AB25" s="171"/>
      <c r="AC25" s="171"/>
      <c r="AD25" s="171"/>
      <c r="AE25" s="171"/>
      <c r="AF25" s="203"/>
    </row>
    <row r="26" spans="1:32" s="207" customFormat="1" ht="12.75" customHeight="1">
      <c r="A26"/>
      <c r="B26" s="203" t="s">
        <v>164</v>
      </c>
      <c r="C26" s="206" t="s">
        <v>165</v>
      </c>
      <c r="D26" s="277" t="s">
        <v>166</v>
      </c>
      <c r="E26" s="383"/>
      <c r="F26" s="374"/>
      <c r="G26" s="203"/>
      <c r="H26" s="206"/>
      <c r="I26" s="362"/>
      <c r="J26" s="389">
        <f>J25-(J25-J32)*D6/P6</f>
        <v>255.5999999999999</v>
      </c>
      <c r="K26" s="390" t="s">
        <v>157</v>
      </c>
      <c r="L26" s="192"/>
      <c r="M26" s="221"/>
      <c r="N26" s="192"/>
      <c r="O26" s="192"/>
      <c r="P26" s="308"/>
      <c r="Q26" s="192"/>
      <c r="R26" s="192"/>
      <c r="S26" s="192"/>
      <c r="T26" s="192"/>
      <c r="U26" s="192"/>
      <c r="V26" s="203"/>
      <c r="W26" s="194"/>
      <c r="X26" s="171"/>
      <c r="Y26" s="171"/>
      <c r="Z26" s="171"/>
      <c r="AA26" s="171"/>
      <c r="AB26" s="171"/>
      <c r="AC26" s="171"/>
      <c r="AD26" s="171"/>
      <c r="AE26" s="171"/>
      <c r="AF26" s="203"/>
    </row>
    <row r="27" spans="1:32" s="207" customFormat="1" ht="12.75" customHeight="1">
      <c r="A27"/>
      <c r="B27" s="203" t="s">
        <v>167</v>
      </c>
      <c r="C27" s="206" t="s">
        <v>168</v>
      </c>
      <c r="D27" s="277" t="s">
        <v>169</v>
      </c>
      <c r="E27" s="383"/>
      <c r="F27" s="374"/>
      <c r="G27" s="203"/>
      <c r="H27" s="203"/>
      <c r="I27" s="362"/>
      <c r="J27" s="365">
        <f>J25-(J25-J32)*(D6+F6)/P6</f>
        <v>255.5999999999999</v>
      </c>
      <c r="K27" s="390" t="s">
        <v>157</v>
      </c>
      <c r="L27" s="192"/>
      <c r="M27" s="262"/>
      <c r="N27" s="192"/>
      <c r="O27" s="192"/>
      <c r="P27" s="308"/>
      <c r="Q27" s="192"/>
      <c r="R27" s="192"/>
      <c r="S27" s="192"/>
      <c r="T27" s="192"/>
      <c r="U27" s="192"/>
      <c r="V27" s="203"/>
      <c r="W27" s="194"/>
      <c r="X27" s="171"/>
      <c r="Y27" s="171"/>
      <c r="Z27" s="171"/>
      <c r="AA27" s="171"/>
      <c r="AB27" s="171"/>
      <c r="AC27" s="171"/>
      <c r="AD27" s="171"/>
      <c r="AE27" s="171"/>
      <c r="AF27" s="203"/>
    </row>
    <row r="28" spans="1:32" s="207" customFormat="1" ht="12.75" customHeight="1">
      <c r="A28"/>
      <c r="B28" s="203" t="s">
        <v>170</v>
      </c>
      <c r="C28" s="206" t="s">
        <v>171</v>
      </c>
      <c r="D28" s="277" t="s">
        <v>172</v>
      </c>
      <c r="E28" s="383"/>
      <c r="F28" s="374"/>
      <c r="G28" s="203"/>
      <c r="H28" s="203"/>
      <c r="I28" s="362"/>
      <c r="J28" s="365">
        <f>J25-(J25-J32)*(D6+F6+H6)/P6</f>
        <v>255.5999999999999</v>
      </c>
      <c r="K28" s="390" t="s">
        <v>157</v>
      </c>
      <c r="L28" s="192"/>
      <c r="M28" s="235"/>
      <c r="N28" s="192"/>
      <c r="O28" s="192"/>
      <c r="P28" s="308"/>
      <c r="Q28" s="192"/>
      <c r="R28" s="192"/>
      <c r="S28" s="192"/>
      <c r="T28" s="192"/>
      <c r="U28" s="192"/>
      <c r="V28" s="203"/>
      <c r="W28" s="203"/>
      <c r="X28" s="171"/>
      <c r="Y28" s="171"/>
      <c r="Z28" s="171"/>
      <c r="AA28" s="171"/>
      <c r="AB28" s="171"/>
      <c r="AC28" s="171"/>
      <c r="AD28" s="171"/>
      <c r="AE28" s="171"/>
      <c r="AF28" s="203"/>
    </row>
    <row r="29" spans="1:32" s="207" customFormat="1" ht="12.75" customHeight="1">
      <c r="A29"/>
      <c r="B29" s="203" t="s">
        <v>173</v>
      </c>
      <c r="C29" s="206" t="s">
        <v>174</v>
      </c>
      <c r="D29" s="277" t="s">
        <v>175</v>
      </c>
      <c r="E29" s="383"/>
      <c r="F29" s="374"/>
      <c r="G29" s="203"/>
      <c r="H29" s="203"/>
      <c r="I29" s="362"/>
      <c r="J29" s="365">
        <f>J25-(J25-J32)*(D6+F6+H6+J6)/P6</f>
        <v>255.5999999999999</v>
      </c>
      <c r="K29" s="390" t="s">
        <v>157</v>
      </c>
      <c r="L29" s="192"/>
      <c r="M29" s="235"/>
      <c r="N29" s="192"/>
      <c r="O29" s="192"/>
      <c r="P29" s="308"/>
      <c r="Q29" s="192"/>
      <c r="R29" s="192"/>
      <c r="S29" s="192"/>
      <c r="T29" s="192"/>
      <c r="U29" s="192"/>
      <c r="V29" s="203"/>
      <c r="W29" s="203"/>
      <c r="X29" s="171"/>
      <c r="Y29" s="171"/>
      <c r="Z29" s="171"/>
      <c r="AA29" s="171"/>
      <c r="AB29" s="171"/>
      <c r="AC29" s="171"/>
      <c r="AD29" s="171"/>
      <c r="AE29" s="171"/>
      <c r="AF29" s="203"/>
    </row>
    <row r="30" spans="1:32" s="207" customFormat="1" ht="12.75" customHeight="1">
      <c r="A30"/>
      <c r="B30" s="203" t="s">
        <v>176</v>
      </c>
      <c r="C30" s="206" t="s">
        <v>177</v>
      </c>
      <c r="D30" s="277" t="s">
        <v>178</v>
      </c>
      <c r="E30" s="383"/>
      <c r="F30" s="374"/>
      <c r="G30" s="203"/>
      <c r="H30" s="203"/>
      <c r="I30" s="362"/>
      <c r="J30" s="365">
        <f>J25-(J25-J32)*(D6+F6+H6+J6+L6)/P6</f>
        <v>255.5999999999999</v>
      </c>
      <c r="K30" s="390" t="s">
        <v>157</v>
      </c>
      <c r="L30" s="192"/>
      <c r="M30" s="235"/>
      <c r="N30" s="309"/>
      <c r="O30" s="309"/>
      <c r="P30" s="309"/>
      <c r="Q30" s="309"/>
      <c r="R30" s="309"/>
      <c r="S30" s="192"/>
      <c r="T30" s="192"/>
      <c r="U30" s="192"/>
      <c r="V30" s="203"/>
      <c r="W30" s="203"/>
      <c r="X30" s="171"/>
      <c r="Y30" s="171"/>
      <c r="Z30" s="171"/>
      <c r="AA30" s="171"/>
      <c r="AB30" s="171"/>
      <c r="AC30" s="171"/>
      <c r="AD30" s="171"/>
      <c r="AE30" s="171"/>
      <c r="AF30" s="203"/>
    </row>
    <row r="31" spans="1:32" s="207" customFormat="1" ht="12.75" customHeight="1">
      <c r="A31"/>
      <c r="B31" s="203" t="s">
        <v>861</v>
      </c>
      <c r="C31" s="206" t="s">
        <v>177</v>
      </c>
      <c r="D31" s="277" t="s">
        <v>862</v>
      </c>
      <c r="E31" s="383"/>
      <c r="F31" s="374"/>
      <c r="G31" s="203"/>
      <c r="H31" s="203"/>
      <c r="I31" s="362"/>
      <c r="J31" s="365">
        <f>J26-(J26-J32)*(D6+F6+H6+J6+L6+N6)/P6</f>
        <v>255.6</v>
      </c>
      <c r="K31" s="390" t="s">
        <v>157</v>
      </c>
      <c r="L31" s="192"/>
      <c r="M31" s="235"/>
      <c r="N31" s="309"/>
      <c r="O31" s="309"/>
      <c r="P31" s="309"/>
      <c r="Q31" s="309"/>
      <c r="R31" s="309"/>
      <c r="S31" s="192"/>
      <c r="T31" s="192"/>
      <c r="U31" s="192"/>
      <c r="V31" s="203"/>
      <c r="W31" s="203"/>
      <c r="X31" s="171"/>
      <c r="Y31" s="171"/>
      <c r="Z31" s="171"/>
      <c r="AA31" s="171"/>
      <c r="AB31" s="171"/>
      <c r="AC31" s="171"/>
      <c r="AD31" s="171"/>
      <c r="AE31" s="171"/>
      <c r="AF31" s="203"/>
    </row>
    <row r="32" spans="1:32" s="207" customFormat="1" ht="12.75" customHeight="1">
      <c r="A32"/>
      <c r="B32" s="203" t="s">
        <v>179</v>
      </c>
      <c r="C32" s="306" t="s">
        <v>180</v>
      </c>
      <c r="D32" s="310" t="s">
        <v>181</v>
      </c>
      <c r="E32" s="203"/>
      <c r="F32" s="386"/>
      <c r="G32" s="203"/>
      <c r="H32" s="203"/>
      <c r="I32" s="391"/>
      <c r="J32" s="387">
        <f>J23*G23/100</f>
        <v>255.6</v>
      </c>
      <c r="K32" s="390" t="s">
        <v>157</v>
      </c>
      <c r="L32" s="192"/>
      <c r="M32" s="235"/>
      <c r="N32" s="309"/>
      <c r="O32" s="309"/>
      <c r="P32" s="309"/>
      <c r="Q32" s="309"/>
      <c r="R32" s="309"/>
      <c r="S32" s="192"/>
      <c r="T32" s="192"/>
      <c r="U32" s="192"/>
      <c r="V32" s="203"/>
      <c r="W32" s="203"/>
      <c r="X32" s="171"/>
      <c r="Y32" s="171"/>
      <c r="Z32" s="171"/>
      <c r="AA32" s="171"/>
      <c r="AB32" s="171"/>
      <c r="AC32" s="171"/>
      <c r="AD32" s="171"/>
      <c r="AE32" s="171"/>
      <c r="AF32" s="203"/>
    </row>
    <row r="33" spans="1:32" s="207" customFormat="1" ht="12.75" customHeight="1" thickBot="1">
      <c r="A33" s="171"/>
      <c r="B33" s="171"/>
      <c r="C33" s="171"/>
      <c r="D33" s="171"/>
      <c r="E33" s="171"/>
      <c r="F33" s="171"/>
      <c r="G33" s="171"/>
      <c r="H33" s="171"/>
      <c r="I33" s="254"/>
      <c r="J33" s="311"/>
      <c r="K33" s="285"/>
      <c r="L33" s="194"/>
      <c r="M33" s="312"/>
      <c r="N33" s="313"/>
      <c r="O33" s="313"/>
      <c r="P33" s="313"/>
      <c r="Q33" s="313"/>
      <c r="R33" s="309"/>
      <c r="S33" s="192"/>
      <c r="T33" s="192"/>
      <c r="U33" s="192"/>
      <c r="V33" s="203"/>
      <c r="W33" s="203"/>
      <c r="X33" s="171"/>
      <c r="Y33" s="171"/>
      <c r="Z33" s="171"/>
      <c r="AA33" s="171"/>
      <c r="AB33" s="171"/>
      <c r="AC33" s="171"/>
      <c r="AD33" s="171"/>
      <c r="AE33" s="171"/>
      <c r="AF33" s="203"/>
    </row>
    <row r="34" spans="1:32" s="207" customFormat="1" ht="12.75" customHeight="1">
      <c r="A34" s="194"/>
      <c r="B34" s="314"/>
      <c r="C34" s="315" t="s">
        <v>182</v>
      </c>
      <c r="D34" s="316" t="s">
        <v>183</v>
      </c>
      <c r="E34" s="317"/>
      <c r="F34" s="318"/>
      <c r="G34" s="319" t="s">
        <v>184</v>
      </c>
      <c r="H34" s="320"/>
      <c r="I34" s="321" t="s">
        <v>185</v>
      </c>
      <c r="J34" s="322"/>
      <c r="K34" s="323" t="s">
        <v>186</v>
      </c>
      <c r="L34" s="320"/>
      <c r="M34" s="312"/>
      <c r="N34" s="313"/>
      <c r="O34" s="313"/>
      <c r="P34" s="313"/>
      <c r="Q34" s="313"/>
      <c r="R34" s="309"/>
      <c r="S34" s="192"/>
      <c r="T34" s="192"/>
      <c r="U34" s="192"/>
      <c r="V34" s="203"/>
      <c r="W34" s="203"/>
      <c r="X34" s="324" t="s">
        <v>187</v>
      </c>
      <c r="Y34" s="325"/>
      <c r="Z34" s="324" t="s">
        <v>188</v>
      </c>
      <c r="AA34" s="325"/>
      <c r="AB34" s="324" t="s">
        <v>189</v>
      </c>
      <c r="AC34" s="325"/>
      <c r="AD34" s="324" t="s">
        <v>190</v>
      </c>
      <c r="AE34" s="325"/>
      <c r="AF34" s="203"/>
    </row>
    <row r="35" spans="1:32" s="207" customFormat="1" ht="12.75" customHeight="1" thickBot="1">
      <c r="A35" s="194"/>
      <c r="B35" s="314"/>
      <c r="C35" s="326"/>
      <c r="D35" s="393" t="s">
        <v>191</v>
      </c>
      <c r="E35" s="394" t="s">
        <v>192</v>
      </c>
      <c r="F35" s="394" t="s">
        <v>193</v>
      </c>
      <c r="G35" s="393" t="s">
        <v>194</v>
      </c>
      <c r="H35" s="394" t="s">
        <v>195</v>
      </c>
      <c r="I35" s="393" t="s">
        <v>196</v>
      </c>
      <c r="J35" s="394" t="s">
        <v>197</v>
      </c>
      <c r="K35" s="395" t="s">
        <v>198</v>
      </c>
      <c r="L35" s="396" t="s">
        <v>199</v>
      </c>
      <c r="M35" s="312"/>
      <c r="N35" s="313"/>
      <c r="O35" s="313"/>
      <c r="P35" s="313"/>
      <c r="Q35" s="313"/>
      <c r="R35" s="309"/>
      <c r="S35" s="192"/>
      <c r="T35" s="192"/>
      <c r="U35" s="192"/>
      <c r="V35" s="203"/>
      <c r="W35" s="203"/>
      <c r="X35" s="328" t="s">
        <v>200</v>
      </c>
      <c r="Y35" s="329" t="s">
        <v>201</v>
      </c>
      <c r="Z35" s="328" t="s">
        <v>200</v>
      </c>
      <c r="AA35" s="329" t="s">
        <v>201</v>
      </c>
      <c r="AB35" s="328" t="s">
        <v>200</v>
      </c>
      <c r="AC35" s="329" t="s">
        <v>201</v>
      </c>
      <c r="AD35" s="328" t="s">
        <v>200</v>
      </c>
      <c r="AE35" s="329" t="s">
        <v>201</v>
      </c>
      <c r="AF35" s="203"/>
    </row>
    <row r="36" spans="1:32" s="207" customFormat="1" ht="12.75" customHeight="1">
      <c r="A36" s="171"/>
      <c r="B36" s="171"/>
      <c r="C36" s="330" t="s">
        <v>202</v>
      </c>
      <c r="D36" s="331">
        <f>D22</f>
        <v>22</v>
      </c>
      <c r="E36" s="332">
        <f>INDEX(Tab!D247:M317,X36,Y36)</f>
        <v>2644</v>
      </c>
      <c r="F36" s="333">
        <f>J25</f>
        <v>1718.6</v>
      </c>
      <c r="G36" s="333">
        <f>D36</f>
        <v>22</v>
      </c>
      <c r="H36" s="334">
        <f>E36</f>
        <v>2644</v>
      </c>
      <c r="I36" s="331">
        <f>D36</f>
        <v>22</v>
      </c>
      <c r="J36" s="331">
        <f>E36</f>
        <v>2644</v>
      </c>
      <c r="K36" s="335">
        <f>D36</f>
        <v>22</v>
      </c>
      <c r="L36" s="320">
        <f>E36</f>
        <v>2644</v>
      </c>
      <c r="M36" s="312"/>
      <c r="N36" s="313"/>
      <c r="O36" s="313"/>
      <c r="P36" s="313"/>
      <c r="Q36" s="313"/>
      <c r="R36" s="309"/>
      <c r="S36" s="192"/>
      <c r="T36" s="192"/>
      <c r="U36" s="192"/>
      <c r="V36" s="203"/>
      <c r="W36" s="203"/>
      <c r="X36" s="336">
        <f>D36+41</f>
        <v>63</v>
      </c>
      <c r="Y36" s="320">
        <v>1</v>
      </c>
      <c r="Z36" s="336">
        <f>G36+41</f>
        <v>63</v>
      </c>
      <c r="AA36" s="320">
        <v>1</v>
      </c>
      <c r="AB36" s="336">
        <f>I36+41</f>
        <v>63</v>
      </c>
      <c r="AC36" s="320">
        <v>1</v>
      </c>
      <c r="AD36" s="336">
        <f>K36+41</f>
        <v>63</v>
      </c>
      <c r="AE36" s="320">
        <v>1</v>
      </c>
      <c r="AF36" s="203"/>
    </row>
    <row r="37" spans="1:32" s="207" customFormat="1" ht="12.75" customHeight="1">
      <c r="A37" s="171"/>
      <c r="B37" s="171"/>
      <c r="C37" s="337" t="s">
        <v>39</v>
      </c>
      <c r="D37" s="1025">
        <f>D36-(D36-D23)*(1Tепло!C27)/1Tепло!C28</f>
        <v>20.22028081123245</v>
      </c>
      <c r="E37" s="338">
        <f>INDEX(Tab!D247:N317,X37,Y37)</f>
        <v>2366</v>
      </c>
      <c r="F37" s="339">
        <f>F36</f>
        <v>1718.6</v>
      </c>
      <c r="G37" s="1027">
        <f>G36-(G36-P18)*(1Tепло!C27)/1Tепло!C28</f>
        <v>20.75563182527301</v>
      </c>
      <c r="H37" s="340">
        <f>INDEX(Tab!D247:N317,Z37,AA37)</f>
        <v>2456</v>
      </c>
      <c r="I37" s="1025">
        <f>I36-(I36-P19)*(1Tепло!C27)/1Tепло!C28</f>
        <v>21.5671263650546</v>
      </c>
      <c r="J37" s="341">
        <f>INDEX(Tab!D247:N317,AB37,AC37)</f>
        <v>2580</v>
      </c>
      <c r="K37" s="1024">
        <f>K36-(K36-P20)*(1Tепло!C27)/1Tепло!C28</f>
        <v>20.34773166926677</v>
      </c>
      <c r="L37" s="342">
        <f>INDEX(Tab!D247:N317,AD37,AE37)</f>
        <v>2381</v>
      </c>
      <c r="M37" s="312"/>
      <c r="N37" s="313"/>
      <c r="O37" s="313"/>
      <c r="P37" s="313"/>
      <c r="Q37" s="313"/>
      <c r="R37" s="309"/>
      <c r="S37" s="192"/>
      <c r="T37" s="192"/>
      <c r="U37" s="192"/>
      <c r="V37" s="203"/>
      <c r="W37" s="203"/>
      <c r="X37" s="343">
        <f>ROUNDDOWN(D37,0)+41</f>
        <v>61</v>
      </c>
      <c r="Y37" s="344">
        <f>ROUND((ABS(D37)-INT(ABS(D37))),1)*10+1</f>
        <v>3</v>
      </c>
      <c r="Z37" s="343">
        <f>ROUNDDOWN(G37,0)+41</f>
        <v>61</v>
      </c>
      <c r="AA37" s="345">
        <f>ROUND((ABS(G37)-INT(ABS(G37))),1)*10+1</f>
        <v>9</v>
      </c>
      <c r="AB37" s="343">
        <f>ROUNDDOWN(I37,0)+41</f>
        <v>62</v>
      </c>
      <c r="AC37" s="345">
        <f>ROUND((ABS(I37)-INT(ABS(I37))),1)*10+1</f>
        <v>7</v>
      </c>
      <c r="AD37" s="343">
        <f>ROUNDDOWN(K37,0)+41</f>
        <v>61</v>
      </c>
      <c r="AE37" s="345">
        <f>ROUND((ABS(K37)-INT(ABS(K37))),1)*10+1</f>
        <v>4</v>
      </c>
      <c r="AF37" s="203"/>
    </row>
    <row r="38" spans="1:32" s="207" customFormat="1" ht="12.75" customHeight="1">
      <c r="A38" s="194"/>
      <c r="B38" s="194"/>
      <c r="C38" s="346" t="s">
        <v>203</v>
      </c>
      <c r="D38" s="1024">
        <f>D36-(D36-D23)*(1Tепло!C27+1Tепло!E27)/1Tепло!C28</f>
        <v>-8.477691107644304</v>
      </c>
      <c r="E38" s="338">
        <f>INDEX(Tab!D247:N317,X38,Y38)</f>
        <v>296</v>
      </c>
      <c r="F38" s="339">
        <f aca="true" t="shared" si="2" ref="F38:F43">J26</f>
        <v>255.5999999999999</v>
      </c>
      <c r="G38" s="1027">
        <f>G36-(G36-P18)*(1Tепло!C27+1Tепло!E27)/1Tепло!C28</f>
        <v>0.6901950078003125</v>
      </c>
      <c r="H38" s="340">
        <f>INDEX(Tab!D247:N317,Z38,AA38)</f>
        <v>643</v>
      </c>
      <c r="I38" s="1025">
        <f>I36-(I36-P19)*(1Tепло!C27+1Tепло!E27)/1Tепло!C28</f>
        <v>14.587039001560061</v>
      </c>
      <c r="J38" s="341">
        <f>INDEX(Tab!D247:N317,AB38,AC38)</f>
        <v>1661</v>
      </c>
      <c r="K38" s="1024">
        <f>K36-(K36-P20)*(1Tепло!C27+1Tепло!E27)/1Tепло!C28</f>
        <v>-6.29509516380655</v>
      </c>
      <c r="L38" s="342">
        <f>INDEX(Tab!D247:N317,AD38,AE38)</f>
        <v>360</v>
      </c>
      <c r="M38" s="312"/>
      <c r="N38" s="194"/>
      <c r="O38" s="194"/>
      <c r="P38" s="194"/>
      <c r="Q38" s="194"/>
      <c r="R38" s="192"/>
      <c r="S38" s="192"/>
      <c r="T38" s="192"/>
      <c r="U38" s="192"/>
      <c r="V38" s="203"/>
      <c r="W38" s="203"/>
      <c r="X38" s="343">
        <f aca="true" t="shared" si="3" ref="X38:X45">ROUNDDOWN(D38,0)+41</f>
        <v>33</v>
      </c>
      <c r="Y38" s="345">
        <f aca="true" t="shared" si="4" ref="Y38:Y45">ROUND((ABS(D38)-INT(ABS(D38))),1)*10+1</f>
        <v>6</v>
      </c>
      <c r="Z38" s="343">
        <f aca="true" t="shared" si="5" ref="Z38:Z45">ROUNDDOWN(G38,0)+41</f>
        <v>41</v>
      </c>
      <c r="AA38" s="345">
        <f aca="true" t="shared" si="6" ref="AA38:AA45">ROUND((ABS(G38)-INT(ABS(G38))),1)*10+1</f>
        <v>8</v>
      </c>
      <c r="AB38" s="343">
        <f aca="true" t="shared" si="7" ref="AB38:AB45">ROUNDDOWN(I38,0)+41</f>
        <v>55</v>
      </c>
      <c r="AC38" s="345">
        <f aca="true" t="shared" si="8" ref="AC38:AC45">ROUND((ABS(I38)-INT(ABS(I38))),1)*10+1</f>
        <v>7</v>
      </c>
      <c r="AD38" s="343">
        <f aca="true" t="shared" si="9" ref="AD38:AD45">ROUNDDOWN(K38,0)+41</f>
        <v>35</v>
      </c>
      <c r="AE38" s="345">
        <f aca="true" t="shared" si="10" ref="AE38:AE45">ROUND((ABS(K38)-INT(ABS(K38))),1)*10+1</f>
        <v>4</v>
      </c>
      <c r="AF38" s="203"/>
    </row>
    <row r="39" spans="1:32" s="207" customFormat="1" ht="12.75" customHeight="1">
      <c r="A39" s="194"/>
      <c r="B39" s="194"/>
      <c r="C39" s="346" t="s">
        <v>204</v>
      </c>
      <c r="D39" s="1025">
        <f>D36-(D36-D23)*(1Tепло!C27+1Tепло!E27+1Tепло!G27)/1Tепло!C28</f>
        <v>-8.477691107644304</v>
      </c>
      <c r="E39" s="338">
        <f>INDEX(Tab!D247:N317,X39,Y39)</f>
        <v>296</v>
      </c>
      <c r="F39" s="339">
        <f t="shared" si="2"/>
        <v>255.5999999999999</v>
      </c>
      <c r="G39" s="1027">
        <f>G36-(G36-P18)*(1Tепло!C27+1Tепло!E27+1Tепло!G27)/1Tепло!C28</f>
        <v>0.6901950078003125</v>
      </c>
      <c r="H39" s="340">
        <f>INDEX(Tab!D247:N317,Z39,AA39)</f>
        <v>643</v>
      </c>
      <c r="I39" s="1025">
        <f>I36-(I36-P19)*(1Tепло!C27+1Tепло!E27+1Tепло!G27)/1Tепло!C28</f>
        <v>14.587039001560061</v>
      </c>
      <c r="J39" s="341">
        <f>INDEX(Tab!D247:N317,AB39,AC39)</f>
        <v>1661</v>
      </c>
      <c r="K39" s="1024">
        <f>K36-(K36-P20)*(1Tепло!C27+1Tепло!E27+1Tепло!G27)/1Tепло!C28</f>
        <v>-6.29509516380655</v>
      </c>
      <c r="L39" s="342">
        <f>INDEX(Tab!D247:N317,AD39,AE39)</f>
        <v>360</v>
      </c>
      <c r="M39" s="235"/>
      <c r="N39" s="192"/>
      <c r="O39" s="192"/>
      <c r="P39" s="192"/>
      <c r="Q39" s="192"/>
      <c r="R39" s="192"/>
      <c r="S39" s="192"/>
      <c r="T39" s="192"/>
      <c r="U39" s="192"/>
      <c r="V39" s="203"/>
      <c r="W39" s="203"/>
      <c r="X39" s="343">
        <f t="shared" si="3"/>
        <v>33</v>
      </c>
      <c r="Y39" s="345">
        <f t="shared" si="4"/>
        <v>6</v>
      </c>
      <c r="Z39" s="343">
        <f t="shared" si="5"/>
        <v>41</v>
      </c>
      <c r="AA39" s="345">
        <f t="shared" si="6"/>
        <v>8</v>
      </c>
      <c r="AB39" s="343">
        <f t="shared" si="7"/>
        <v>55</v>
      </c>
      <c r="AC39" s="345">
        <f t="shared" si="8"/>
        <v>7</v>
      </c>
      <c r="AD39" s="343">
        <f t="shared" si="9"/>
        <v>35</v>
      </c>
      <c r="AE39" s="345">
        <f t="shared" si="10"/>
        <v>4</v>
      </c>
      <c r="AF39" s="203"/>
    </row>
    <row r="40" spans="1:32" s="207" customFormat="1" ht="12.75" customHeight="1">
      <c r="A40" s="194"/>
      <c r="B40" s="347"/>
      <c r="C40" s="348" t="s">
        <v>205</v>
      </c>
      <c r="D40" s="1025">
        <f>D36-(D36-D23)*(1Tепло!C27+1Tепло!E27+1Tепло!G27+1Tепло!I27)/1Tепло!C28</f>
        <v>-8.477691107644304</v>
      </c>
      <c r="E40" s="338">
        <f>INDEX(Tab!D247:N317,X40,Y40)</f>
        <v>296</v>
      </c>
      <c r="F40" s="339">
        <f t="shared" si="2"/>
        <v>255.5999999999999</v>
      </c>
      <c r="G40" s="1027">
        <f>G36-(G36-P18)*(1Tепло!C27+1Tепло!E27+1Tепло!G27+1Tепло!I27)/1Tепло!C28</f>
        <v>0.6901950078003125</v>
      </c>
      <c r="H40" s="340">
        <f>INDEX(Tab!D247:N317,Z40,AA40)</f>
        <v>643</v>
      </c>
      <c r="I40" s="1025">
        <f>I36-(I36-P19)*(1Tепло!C27+1Tепло!E27+1Tепло!G27+1Tепло!I27)/1Tепло!C28</f>
        <v>14.587039001560061</v>
      </c>
      <c r="J40" s="341">
        <f>INDEX(Tab!D247:N317,AB40,AC40)</f>
        <v>1661</v>
      </c>
      <c r="K40" s="1024">
        <f>K36-(K36-P20)*(1Tепло!C27+1Tепло!E27+1Tепло!G27+1Tепло!I27)/1Tепло!C28</f>
        <v>-6.29509516380655</v>
      </c>
      <c r="L40" s="342">
        <f>INDEX(Tab!D247:N317,AD40,AE40)</f>
        <v>360</v>
      </c>
      <c r="M40" s="235"/>
      <c r="N40" s="192"/>
      <c r="O40" s="192"/>
      <c r="P40" s="192"/>
      <c r="Q40" s="192"/>
      <c r="R40" s="192"/>
      <c r="S40" s="192"/>
      <c r="T40" s="192"/>
      <c r="U40" s="192"/>
      <c r="V40" s="203"/>
      <c r="W40" s="203"/>
      <c r="X40" s="343">
        <f t="shared" si="3"/>
        <v>33</v>
      </c>
      <c r="Y40" s="345">
        <f t="shared" si="4"/>
        <v>6</v>
      </c>
      <c r="Z40" s="343">
        <f t="shared" si="5"/>
        <v>41</v>
      </c>
      <c r="AA40" s="345">
        <f t="shared" si="6"/>
        <v>8</v>
      </c>
      <c r="AB40" s="343">
        <f t="shared" si="7"/>
        <v>55</v>
      </c>
      <c r="AC40" s="345">
        <f t="shared" si="8"/>
        <v>7</v>
      </c>
      <c r="AD40" s="343">
        <f t="shared" si="9"/>
        <v>35</v>
      </c>
      <c r="AE40" s="345">
        <f t="shared" si="10"/>
        <v>4</v>
      </c>
      <c r="AF40" s="203"/>
    </row>
    <row r="41" spans="1:32" s="207" customFormat="1" ht="12.75" customHeight="1">
      <c r="A41" s="194"/>
      <c r="B41" s="347"/>
      <c r="C41" s="346" t="s">
        <v>206</v>
      </c>
      <c r="D41" s="1025">
        <f>D36-(D36-D23)*(1Tепло!C27+1Tепло!E27+1Tепло!G27+1Tепло!I27+1Tепло!K27)/1Tепло!C28</f>
        <v>-8.477691107644304</v>
      </c>
      <c r="E41" s="338">
        <f>INDEX(Tab!D247:N317,X41,Y41)</f>
        <v>296</v>
      </c>
      <c r="F41" s="339">
        <f t="shared" si="2"/>
        <v>255.5999999999999</v>
      </c>
      <c r="G41" s="1027">
        <f>G36-(G36-P18)*(1Tепло!C27+1Tепло!E27+1Tепло!G27+1Tепло!I27+1Tепло!K27)/1Tепло!C28</f>
        <v>0.6901950078003125</v>
      </c>
      <c r="H41" s="340">
        <f>INDEX(Tab!D247:N317,Z41,AA41)</f>
        <v>643</v>
      </c>
      <c r="I41" s="1025">
        <f>I36-(I36-P19)*(1Tепло!C27+1Tепло!E27+1Tепло!G27+1Tепло!I27+1Tепло!K27)/1Tепло!C28</f>
        <v>14.587039001560061</v>
      </c>
      <c r="J41" s="341">
        <f>INDEX(Tab!D247:N317,AB41,AC41)</f>
        <v>1661</v>
      </c>
      <c r="K41" s="1024">
        <f>K36-(K36-P20)*(1Tепло!C27+1Tепло!E27+1Tепло!G27+1Tепло!I27+1Tепло!K27)/1Tепло!C28</f>
        <v>-6.29509516380655</v>
      </c>
      <c r="L41" s="342">
        <f>INDEX(Tab!D247:N317,AD41,AE41)</f>
        <v>360</v>
      </c>
      <c r="M41" s="235"/>
      <c r="N41" s="192"/>
      <c r="O41" s="192"/>
      <c r="P41" s="192"/>
      <c r="Q41" s="192"/>
      <c r="R41" s="192"/>
      <c r="S41" s="192"/>
      <c r="T41" s="192"/>
      <c r="U41" s="192"/>
      <c r="V41" s="203"/>
      <c r="W41" s="203"/>
      <c r="X41" s="343">
        <f t="shared" si="3"/>
        <v>33</v>
      </c>
      <c r="Y41" s="345">
        <f t="shared" si="4"/>
        <v>6</v>
      </c>
      <c r="Z41" s="343">
        <f t="shared" si="5"/>
        <v>41</v>
      </c>
      <c r="AA41" s="345">
        <f t="shared" si="6"/>
        <v>8</v>
      </c>
      <c r="AB41" s="343">
        <f t="shared" si="7"/>
        <v>55</v>
      </c>
      <c r="AC41" s="345">
        <f t="shared" si="8"/>
        <v>7</v>
      </c>
      <c r="AD41" s="343">
        <f t="shared" si="9"/>
        <v>35</v>
      </c>
      <c r="AE41" s="345">
        <f t="shared" si="10"/>
        <v>4</v>
      </c>
      <c r="AF41" s="203"/>
    </row>
    <row r="42" spans="1:32" s="207" customFormat="1" ht="12.75" customHeight="1">
      <c r="A42" s="194"/>
      <c r="B42" s="347"/>
      <c r="C42" s="346" t="s">
        <v>207</v>
      </c>
      <c r="D42" s="1025">
        <f>D36-(D36-D23)*(1Tепло!C27+1Tепло!E27+1Tепло!G27+1Tепло!I27+1Tепло!K27+1Tепло!M27)/1Tепло!C28</f>
        <v>-8.477691107644304</v>
      </c>
      <c r="E42" s="338">
        <f>INDEX(Tab!D247:N317,X42,Y42)</f>
        <v>296</v>
      </c>
      <c r="F42" s="339">
        <f t="shared" si="2"/>
        <v>255.5999999999999</v>
      </c>
      <c r="G42" s="1027">
        <f>G36-(G36-P18)*(1Tепло!C27+1Tепло!E27+1Tепло!G27+1Tепло!I27+1Tепло!K27+1Tепло!M27)/1Tепло!C28</f>
        <v>0.6901950078003125</v>
      </c>
      <c r="H42" s="340">
        <f>INDEX(Tab!D247:N317,Z42,AA42)</f>
        <v>643</v>
      </c>
      <c r="I42" s="1025">
        <f>I36-(I36-P19)*(1Tепло!C27+1Tепло!E27+1Tепло!G27+1Tепло!I27+1Tепло!K27+1Tепло!M27)/1Tепло!C28</f>
        <v>14.587039001560061</v>
      </c>
      <c r="J42" s="341">
        <f>INDEX(Tab!D247:N317,AB42,AC42)</f>
        <v>1661</v>
      </c>
      <c r="K42" s="1024">
        <f>K36-(K36-P20)*(1Tепло!C27+1Tепло!E27+1Tепло!G27+1Tепло!I27+1Tепло!K27+1Tепло!M27)/1Tепло!C28</f>
        <v>-6.29509516380655</v>
      </c>
      <c r="L42" s="342">
        <f>INDEX(Tab!D247:N317,AD42,AE42)</f>
        <v>360</v>
      </c>
      <c r="M42" s="235"/>
      <c r="N42" s="192"/>
      <c r="O42" s="192"/>
      <c r="P42" s="192"/>
      <c r="Q42" s="192"/>
      <c r="R42" s="192"/>
      <c r="S42" s="192"/>
      <c r="T42" s="192"/>
      <c r="U42" s="192"/>
      <c r="V42" s="203"/>
      <c r="W42" s="203"/>
      <c r="X42" s="343">
        <f t="shared" si="3"/>
        <v>33</v>
      </c>
      <c r="Y42" s="345">
        <f t="shared" si="4"/>
        <v>6</v>
      </c>
      <c r="Z42" s="343">
        <f t="shared" si="5"/>
        <v>41</v>
      </c>
      <c r="AA42" s="345">
        <f t="shared" si="6"/>
        <v>8</v>
      </c>
      <c r="AB42" s="343">
        <f t="shared" si="7"/>
        <v>55</v>
      </c>
      <c r="AC42" s="345">
        <f t="shared" si="8"/>
        <v>7</v>
      </c>
      <c r="AD42" s="349">
        <f t="shared" si="9"/>
        <v>35</v>
      </c>
      <c r="AE42" s="345">
        <f t="shared" si="10"/>
        <v>4</v>
      </c>
      <c r="AF42" s="203"/>
    </row>
    <row r="43" spans="1:32" s="207" customFormat="1" ht="12.75" customHeight="1">
      <c r="A43" s="194"/>
      <c r="B43" s="347"/>
      <c r="C43" s="346" t="s">
        <v>207</v>
      </c>
      <c r="D43" s="1025">
        <f>D36-(D36-D23)*(1Tепло!C27+1Tепло!E27+1Tепло!G27+1Tепло!I27+1Tепло!K27+1Tепло!M27+1Tепло!O27)/1Tепло!C28</f>
        <v>-8.477691107644304</v>
      </c>
      <c r="E43" s="338">
        <f>INDEX(Tab!D247:N317,X43,Y43)</f>
        <v>296</v>
      </c>
      <c r="F43" s="339">
        <f t="shared" si="2"/>
        <v>255.6</v>
      </c>
      <c r="G43" s="1027">
        <f>G36-(G36-P18)*(1Tепло!C27+1Tепло!E27+1Tепло!G27+1Tепло!I27+1Tепло!K27+1Tепло!M27+1Tепло!O27)/1Tепло!C28</f>
        <v>0.6901950078003125</v>
      </c>
      <c r="H43" s="340">
        <f>INDEX(Tab!D248:N318,Z43,AA43)</f>
        <v>691</v>
      </c>
      <c r="I43" s="1025">
        <f>I36-(I36-P19)*(1Tепло!C27+1Tепло!E27+1Tепло!G27+1Tепло!I27+1Tепло!K27+1Tепло!M27+1Tепло!O27)/1Tепло!C28</f>
        <v>14.587039001560061</v>
      </c>
      <c r="J43" s="341">
        <f>INDEX(Tab!D248:N318,AB43,AC43)</f>
        <v>1772</v>
      </c>
      <c r="K43" s="1024">
        <f>K36-(K36-P20)*(1Tепло!C27+1Tепло!E27+1Tепло!G27+1Tепло!I27+1Tепло!K27+1Tепло!M27+1Tепло!O27)/1Tепло!C28</f>
        <v>-6.29509516380655</v>
      </c>
      <c r="L43" s="342">
        <f>INDEX(Tab!D248:N318,AD43,AE43)</f>
        <v>392</v>
      </c>
      <c r="M43" s="235"/>
      <c r="N43" s="192"/>
      <c r="O43" s="192"/>
      <c r="P43" s="192"/>
      <c r="Q43" s="192"/>
      <c r="R43" s="192"/>
      <c r="S43" s="192"/>
      <c r="T43" s="192"/>
      <c r="U43" s="192"/>
      <c r="V43" s="203"/>
      <c r="W43" s="203"/>
      <c r="X43" s="343">
        <f>ROUNDDOWN(D43,0)+41</f>
        <v>33</v>
      </c>
      <c r="Y43" s="345">
        <f>ROUND((ABS(D43)-INT(ABS(D43))),1)*10+1</f>
        <v>6</v>
      </c>
      <c r="Z43" s="343">
        <f>ROUNDDOWN(G43,0)+41</f>
        <v>41</v>
      </c>
      <c r="AA43" s="345">
        <f>ROUND((ABS(G43)-INT(ABS(G43))),1)*10+1</f>
        <v>8</v>
      </c>
      <c r="AB43" s="343">
        <f>ROUNDDOWN(I43,0)+41</f>
        <v>55</v>
      </c>
      <c r="AC43" s="345">
        <f>ROUND((ABS(I43)-INT(ABS(I43))),1)*10+1</f>
        <v>7</v>
      </c>
      <c r="AD43" s="349">
        <f>ROUNDDOWN(K43,0)+41</f>
        <v>35</v>
      </c>
      <c r="AE43" s="345">
        <f>ROUND((ABS(K43)-INT(ABS(K43))),1)*10+1</f>
        <v>4</v>
      </c>
      <c r="AF43" s="203"/>
    </row>
    <row r="44" spans="1:32" s="207" customFormat="1" ht="12.75" customHeight="1">
      <c r="A44" s="194"/>
      <c r="B44" s="347"/>
      <c r="C44" s="337" t="s">
        <v>208</v>
      </c>
      <c r="D44" s="1025">
        <f>D36-(D36-D23)*(1Tепло!C27+1Tепло!E27+1Tепло!G27+1Tепло!I27+1Tепло!K27+1Tепло!M27+1Tепло!O27+1Tепло!Q27)/1Tепло!C28</f>
        <v>-8.477691107644304</v>
      </c>
      <c r="E44" s="338">
        <f>INDEX(Tab!D247:N317,X44,Y44)</f>
        <v>296</v>
      </c>
      <c r="F44" s="339">
        <f>F45</f>
        <v>255.6</v>
      </c>
      <c r="G44" s="1027">
        <f>G36-(G36-P18)*(1Tепло!C27+1Tепло!E27+1Tепло!G27+1Tепло!I27+1Tепло!K27+1Tепло!M27+1Tепло!O27+1Tепло!Q27)/1Tепло!C28</f>
        <v>0.6901950078003125</v>
      </c>
      <c r="H44" s="340">
        <f>INDEX(Tab!D247:N317,Z44,AA44)</f>
        <v>643</v>
      </c>
      <c r="I44" s="1025">
        <f>I36-(I36-P19)*(1Tепло!C27+1Tепло!E27+1Tепло!G27+1Tепло!I27+1Tепло!K27+1Tепло!M27+1Tепло!O27+1Tепло!Q27)/1Tепло!C28</f>
        <v>14.587039001560061</v>
      </c>
      <c r="J44" s="341">
        <f>INDEX(Tab!D247:N317,AB44,AC44)</f>
        <v>1661</v>
      </c>
      <c r="K44" s="1024">
        <f>K36-(K36-P20)*(1Tепло!C27+1Tепло!E27+1Tепло!G27+1Tепло!I27+1Tепло!K27+1Tепло!M27+1Tепло!O27+1Tепло!Q27)/1Tепло!C28</f>
        <v>-6.29509516380655</v>
      </c>
      <c r="L44" s="342">
        <f>INDEX(Tab!D247:N317,AD44,AE44)</f>
        <v>360</v>
      </c>
      <c r="M44" s="312"/>
      <c r="N44" s="192"/>
      <c r="O44" s="192"/>
      <c r="P44" s="192"/>
      <c r="Q44" s="192"/>
      <c r="R44" s="192"/>
      <c r="S44" s="192"/>
      <c r="T44" s="192"/>
      <c r="U44" s="192"/>
      <c r="V44" s="203"/>
      <c r="W44" s="203"/>
      <c r="X44" s="343">
        <f t="shared" si="3"/>
        <v>33</v>
      </c>
      <c r="Y44" s="345">
        <f t="shared" si="4"/>
        <v>6</v>
      </c>
      <c r="Z44" s="343">
        <f t="shared" si="5"/>
        <v>41</v>
      </c>
      <c r="AA44" s="345">
        <f t="shared" si="6"/>
        <v>8</v>
      </c>
      <c r="AB44" s="343">
        <f t="shared" si="7"/>
        <v>55</v>
      </c>
      <c r="AC44" s="345">
        <f t="shared" si="8"/>
        <v>7</v>
      </c>
      <c r="AD44" s="349">
        <f t="shared" si="9"/>
        <v>35</v>
      </c>
      <c r="AE44" s="345">
        <f t="shared" si="10"/>
        <v>4</v>
      </c>
      <c r="AF44" s="203"/>
    </row>
    <row r="45" spans="1:32" s="207" customFormat="1" ht="12.75" customHeight="1" thickBot="1">
      <c r="A45" s="194"/>
      <c r="B45" s="347"/>
      <c r="C45" s="327" t="s">
        <v>209</v>
      </c>
      <c r="D45" s="1026">
        <f>P17</f>
        <v>-9</v>
      </c>
      <c r="E45" s="350">
        <f>INDEX(Tab!D247:N317,X45,Y45)</f>
        <v>284</v>
      </c>
      <c r="F45" s="351">
        <f>J32</f>
        <v>255.6</v>
      </c>
      <c r="G45" s="1028">
        <f>P18</f>
        <v>0.32499999999999996</v>
      </c>
      <c r="H45" s="352">
        <f>INDEX(Tab!D247:N317,Z45,AA45)</f>
        <v>624</v>
      </c>
      <c r="I45" s="1026">
        <f>P19</f>
        <v>14.459999999999999</v>
      </c>
      <c r="J45" s="353">
        <f>INDEX(Tab!D247:N317,AB45,AC45)</f>
        <v>1651</v>
      </c>
      <c r="K45" s="1029">
        <f>P20</f>
        <v>-6.779999999999999</v>
      </c>
      <c r="L45" s="329">
        <f>INDEX(Tab!D247:N317,AD45,AE45)</f>
        <v>344</v>
      </c>
      <c r="M45" s="312"/>
      <c r="N45" s="192"/>
      <c r="O45" s="192"/>
      <c r="P45" s="192"/>
      <c r="Q45" s="192"/>
      <c r="R45" s="192"/>
      <c r="S45" s="192"/>
      <c r="T45" s="192"/>
      <c r="U45" s="192"/>
      <c r="V45" s="203"/>
      <c r="W45" s="203"/>
      <c r="X45" s="355">
        <f t="shared" si="3"/>
        <v>32</v>
      </c>
      <c r="Y45" s="356">
        <f t="shared" si="4"/>
        <v>1</v>
      </c>
      <c r="Z45" s="355">
        <f t="shared" si="5"/>
        <v>41</v>
      </c>
      <c r="AA45" s="356">
        <f t="shared" si="6"/>
        <v>4</v>
      </c>
      <c r="AB45" s="355">
        <f t="shared" si="7"/>
        <v>55</v>
      </c>
      <c r="AC45" s="356">
        <f t="shared" si="8"/>
        <v>6</v>
      </c>
      <c r="AD45" s="357">
        <f t="shared" si="9"/>
        <v>35</v>
      </c>
      <c r="AE45" s="356">
        <f t="shared" si="10"/>
        <v>9</v>
      </c>
      <c r="AF45" s="203"/>
    </row>
    <row r="46" spans="1:32" s="207" customFormat="1" ht="12.75" customHeight="1">
      <c r="A46" s="194"/>
      <c r="B46" s="347"/>
      <c r="C46" s="194"/>
      <c r="D46" s="194"/>
      <c r="E46" s="197"/>
      <c r="F46" s="197"/>
      <c r="G46" s="358"/>
      <c r="H46" s="194"/>
      <c r="I46" s="236"/>
      <c r="J46" s="236"/>
      <c r="K46" s="285"/>
      <c r="L46" s="194"/>
      <c r="M46" s="312"/>
      <c r="N46" s="192"/>
      <c r="O46" s="192"/>
      <c r="P46" s="192"/>
      <c r="Q46" s="192"/>
      <c r="R46" s="192"/>
      <c r="S46" s="192"/>
      <c r="T46" s="192"/>
      <c r="U46" s="192"/>
      <c r="V46" s="171"/>
      <c r="W46" s="171"/>
      <c r="X46" s="171"/>
      <c r="Y46" s="171"/>
      <c r="Z46" s="203"/>
      <c r="AA46" s="203"/>
      <c r="AB46" s="203"/>
      <c r="AC46" s="203"/>
      <c r="AD46" s="203"/>
      <c r="AE46" s="203"/>
      <c r="AF46" s="203"/>
    </row>
    <row r="47" spans="1:32" s="207" customFormat="1" ht="12.7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4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203"/>
      <c r="AA47" s="203"/>
      <c r="AB47" s="203"/>
      <c r="AC47" s="203"/>
      <c r="AD47" s="203"/>
      <c r="AE47" s="203"/>
      <c r="AF47" s="203"/>
    </row>
    <row r="48" spans="1:32" s="207" customFormat="1" ht="12.7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4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203"/>
      <c r="AA48" s="203"/>
      <c r="AB48" s="203"/>
      <c r="AC48" s="203"/>
      <c r="AD48" s="203"/>
      <c r="AE48" s="203"/>
      <c r="AF48" s="203"/>
    </row>
    <row r="49" spans="1:32" s="9" customFormat="1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82"/>
      <c r="L49" s="59"/>
      <c r="M49" s="59"/>
      <c r="N49" s="59"/>
      <c r="O49" s="59"/>
      <c r="P49" s="44"/>
      <c r="Q49" s="44"/>
      <c r="R49" s="44"/>
      <c r="S49" s="44"/>
      <c r="T49" s="44"/>
      <c r="U49" s="44"/>
      <c r="V49" s="44"/>
      <c r="W49" s="6"/>
      <c r="X49" s="6"/>
      <c r="Y49" s="6"/>
      <c r="Z49" s="23"/>
      <c r="AA49" s="23"/>
      <c r="AB49" s="23"/>
      <c r="AC49" s="23"/>
      <c r="AD49" s="23"/>
      <c r="AE49" s="23"/>
      <c r="AF49" s="23"/>
    </row>
    <row r="50" spans="1:32" s="9" customFormat="1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82"/>
      <c r="L50" s="59"/>
      <c r="M50" s="59"/>
      <c r="N50" s="59"/>
      <c r="O50" s="59"/>
      <c r="P50" s="44"/>
      <c r="Q50" s="44"/>
      <c r="R50" s="44"/>
      <c r="S50" s="44"/>
      <c r="T50" s="44"/>
      <c r="U50" s="44"/>
      <c r="V50" s="44"/>
      <c r="W50" s="6"/>
      <c r="X50" s="6"/>
      <c r="Y50" s="6"/>
      <c r="Z50" s="23"/>
      <c r="AA50" s="23"/>
      <c r="AB50" s="23"/>
      <c r="AC50" s="23"/>
      <c r="AD50" s="23"/>
      <c r="AE50" s="23"/>
      <c r="AF50" s="23"/>
    </row>
    <row r="51" spans="1:32" s="9" customFormat="1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82"/>
      <c r="L51" s="59"/>
      <c r="M51" s="59"/>
      <c r="N51" s="59"/>
      <c r="O51" s="59"/>
      <c r="P51" s="44"/>
      <c r="Q51" s="44"/>
      <c r="R51" s="44"/>
      <c r="S51" s="44"/>
      <c r="T51" s="44"/>
      <c r="U51" s="44"/>
      <c r="V51" s="44"/>
      <c r="W51" s="6"/>
      <c r="X51" s="6"/>
      <c r="Y51" s="6"/>
      <c r="Z51" s="23"/>
      <c r="AA51" s="23"/>
      <c r="AB51" s="23"/>
      <c r="AC51" s="23"/>
      <c r="AD51" s="23"/>
      <c r="AE51" s="23"/>
      <c r="AF51" s="23"/>
    </row>
    <row r="52" spans="1:32" s="9" customFormat="1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82"/>
      <c r="L52" s="59"/>
      <c r="M52" s="59"/>
      <c r="N52" s="59"/>
      <c r="O52" s="59"/>
      <c r="P52" s="44"/>
      <c r="Q52" s="44"/>
      <c r="R52" s="44"/>
      <c r="S52" s="44"/>
      <c r="T52" s="44"/>
      <c r="U52" s="44"/>
      <c r="V52" s="44"/>
      <c r="W52" s="6"/>
      <c r="X52" s="6"/>
      <c r="Y52" s="6"/>
      <c r="Z52" s="23"/>
      <c r="AA52" s="23"/>
      <c r="AB52" s="23"/>
      <c r="AC52" s="23"/>
      <c r="AD52" s="23"/>
      <c r="AE52" s="23"/>
      <c r="AF52" s="23"/>
    </row>
    <row r="53" spans="1:32" s="9" customFormat="1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82"/>
      <c r="L53" s="59"/>
      <c r="M53" s="59"/>
      <c r="N53" s="59"/>
      <c r="O53" s="59"/>
      <c r="P53" s="44"/>
      <c r="Q53" s="44"/>
      <c r="R53" s="44"/>
      <c r="S53" s="44"/>
      <c r="T53" s="44"/>
      <c r="U53" s="44"/>
      <c r="V53" s="44"/>
      <c r="W53" s="6"/>
      <c r="X53" s="6"/>
      <c r="Y53" s="6"/>
      <c r="Z53" s="23"/>
      <c r="AA53" s="23"/>
      <c r="AB53" s="23"/>
      <c r="AC53" s="23"/>
      <c r="AD53" s="23"/>
      <c r="AE53" s="23"/>
      <c r="AF53" s="23"/>
    </row>
    <row r="54" spans="1:32" s="9" customFormat="1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82"/>
      <c r="L54" s="59"/>
      <c r="M54" s="59"/>
      <c r="N54" s="59"/>
      <c r="O54" s="59"/>
      <c r="P54" s="44"/>
      <c r="Q54" s="44"/>
      <c r="R54" s="44"/>
      <c r="S54" s="44"/>
      <c r="T54" s="44"/>
      <c r="U54" s="44"/>
      <c r="V54" s="44"/>
      <c r="W54" s="6"/>
      <c r="X54" s="6"/>
      <c r="Y54" s="6"/>
      <c r="Z54" s="23"/>
      <c r="AA54" s="23"/>
      <c r="AB54" s="23"/>
      <c r="AC54" s="23"/>
      <c r="AD54" s="23"/>
      <c r="AE54" s="23"/>
      <c r="AF54" s="23"/>
    </row>
    <row r="55" spans="1:32" s="9" customFormat="1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82"/>
      <c r="L55" s="59"/>
      <c r="M55" s="59"/>
      <c r="N55" s="59"/>
      <c r="O55" s="59"/>
      <c r="P55" s="44"/>
      <c r="Q55" s="44"/>
      <c r="R55" s="44"/>
      <c r="S55" s="44"/>
      <c r="T55" s="44"/>
      <c r="U55" s="44"/>
      <c r="V55" s="44"/>
      <c r="W55" s="6"/>
      <c r="X55" s="6"/>
      <c r="Y55" s="6"/>
      <c r="Z55" s="23"/>
      <c r="AA55" s="23"/>
      <c r="AB55" s="23"/>
      <c r="AC55" s="23"/>
      <c r="AD55" s="23"/>
      <c r="AE55" s="23"/>
      <c r="AF55" s="23"/>
    </row>
    <row r="56" spans="1:32" s="9" customFormat="1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82"/>
      <c r="L56" s="59"/>
      <c r="M56" s="59"/>
      <c r="N56" s="59"/>
      <c r="O56" s="59"/>
      <c r="P56" s="44"/>
      <c r="Q56" s="44"/>
      <c r="R56" s="44"/>
      <c r="S56" s="44"/>
      <c r="T56" s="44"/>
      <c r="U56" s="44"/>
      <c r="V56" s="44"/>
      <c r="W56" s="6"/>
      <c r="X56" s="6"/>
      <c r="Y56" s="6"/>
      <c r="Z56" s="23"/>
      <c r="AA56" s="23"/>
      <c r="AB56" s="23"/>
      <c r="AC56" s="23"/>
      <c r="AD56" s="23"/>
      <c r="AE56" s="23"/>
      <c r="AF56" s="23"/>
    </row>
    <row r="57" spans="1:32" s="9" customFormat="1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82"/>
      <c r="L57" s="59"/>
      <c r="M57" s="59"/>
      <c r="N57" s="59"/>
      <c r="O57" s="59"/>
      <c r="P57" s="44"/>
      <c r="Q57" s="44"/>
      <c r="R57" s="44"/>
      <c r="S57" s="44"/>
      <c r="T57" s="44"/>
      <c r="U57" s="44"/>
      <c r="V57" s="44"/>
      <c r="W57" s="6"/>
      <c r="X57" s="6"/>
      <c r="Y57" s="6"/>
      <c r="Z57" s="23"/>
      <c r="AA57" s="23"/>
      <c r="AB57" s="23"/>
      <c r="AC57" s="23"/>
      <c r="AD57" s="23"/>
      <c r="AE57" s="23"/>
      <c r="AF57" s="23"/>
    </row>
    <row r="58" spans="1:32" s="9" customFormat="1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82"/>
      <c r="L58" s="59"/>
      <c r="M58" s="59"/>
      <c r="N58" s="59"/>
      <c r="O58" s="59"/>
      <c r="P58" s="44"/>
      <c r="Q58" s="44"/>
      <c r="R58" s="44"/>
      <c r="S58" s="44"/>
      <c r="T58" s="44"/>
      <c r="U58" s="44"/>
      <c r="V58" s="44"/>
      <c r="W58" s="6"/>
      <c r="X58" s="6"/>
      <c r="Y58" s="6"/>
      <c r="Z58" s="23"/>
      <c r="AA58" s="23"/>
      <c r="AB58" s="23"/>
      <c r="AC58" s="23"/>
      <c r="AD58" s="23"/>
      <c r="AE58" s="23"/>
      <c r="AF58" s="23"/>
    </row>
    <row r="59" spans="1:32" s="9" customFormat="1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82"/>
      <c r="L59" s="59"/>
      <c r="M59" s="59"/>
      <c r="N59" s="59"/>
      <c r="O59" s="59"/>
      <c r="P59" s="44"/>
      <c r="Q59" s="44"/>
      <c r="R59" s="44"/>
      <c r="S59" s="44"/>
      <c r="T59" s="44"/>
      <c r="U59" s="44"/>
      <c r="V59" s="44"/>
      <c r="W59" s="6"/>
      <c r="X59" s="6"/>
      <c r="Y59" s="6"/>
      <c r="Z59" s="23"/>
      <c r="AA59" s="23"/>
      <c r="AB59" s="23"/>
      <c r="AC59" s="23"/>
      <c r="AD59" s="23"/>
      <c r="AE59" s="23"/>
      <c r="AF59" s="23"/>
    </row>
    <row r="60" spans="1:32" s="9" customFormat="1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82"/>
      <c r="L60" s="59"/>
      <c r="M60" s="59"/>
      <c r="N60" s="59"/>
      <c r="O60" s="59"/>
      <c r="P60" s="44"/>
      <c r="Q60" s="44"/>
      <c r="R60" s="44"/>
      <c r="S60" s="44"/>
      <c r="T60" s="44"/>
      <c r="U60" s="44"/>
      <c r="V60" s="44"/>
      <c r="W60" s="6"/>
      <c r="X60" s="6"/>
      <c r="Y60" s="6"/>
      <c r="Z60" s="23"/>
      <c r="AA60" s="23"/>
      <c r="AB60" s="23"/>
      <c r="AC60" s="23"/>
      <c r="AD60" s="23"/>
      <c r="AE60" s="23"/>
      <c r="AF60" s="23"/>
    </row>
    <row r="61" spans="1:32" s="9" customFormat="1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82"/>
      <c r="L61" s="59"/>
      <c r="M61" s="59"/>
      <c r="N61" s="59"/>
      <c r="O61" s="59"/>
      <c r="P61" s="44"/>
      <c r="Q61" s="44"/>
      <c r="R61" s="44"/>
      <c r="S61" s="44"/>
      <c r="T61" s="44"/>
      <c r="U61" s="44"/>
      <c r="V61" s="44"/>
      <c r="W61" s="6"/>
      <c r="X61" s="6"/>
      <c r="Y61" s="6"/>
      <c r="Z61" s="23"/>
      <c r="AA61" s="23"/>
      <c r="AB61" s="23"/>
      <c r="AC61" s="23"/>
      <c r="AD61" s="23"/>
      <c r="AE61" s="23"/>
      <c r="AF61" s="23"/>
    </row>
    <row r="62" spans="1:32" s="9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82"/>
      <c r="L62" s="59"/>
      <c r="M62" s="59"/>
      <c r="N62" s="59"/>
      <c r="O62" s="59"/>
      <c r="P62" s="44"/>
      <c r="Q62" s="44"/>
      <c r="R62" s="44"/>
      <c r="S62" s="44"/>
      <c r="T62" s="44"/>
      <c r="U62" s="44"/>
      <c r="V62" s="44"/>
      <c r="W62" s="6"/>
      <c r="X62" s="6"/>
      <c r="Y62" s="6"/>
      <c r="Z62" s="23"/>
      <c r="AA62" s="23"/>
      <c r="AB62" s="23"/>
      <c r="AC62" s="23"/>
      <c r="AD62" s="23"/>
      <c r="AE62" s="23"/>
      <c r="AF62" s="23"/>
    </row>
    <row r="63" spans="1:32" s="9" customFormat="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82"/>
      <c r="L63" s="59"/>
      <c r="M63" s="59"/>
      <c r="N63" s="59"/>
      <c r="O63" s="59"/>
      <c r="P63" s="44"/>
      <c r="Q63" s="44"/>
      <c r="R63" s="44"/>
      <c r="S63" s="44"/>
      <c r="T63" s="44"/>
      <c r="U63" s="44"/>
      <c r="V63" s="44"/>
      <c r="W63" s="6"/>
      <c r="X63" s="6"/>
      <c r="Y63" s="6"/>
      <c r="Z63" s="23"/>
      <c r="AA63" s="23"/>
      <c r="AB63" s="23"/>
      <c r="AC63" s="23"/>
      <c r="AD63" s="23"/>
      <c r="AE63" s="23"/>
      <c r="AF63" s="23"/>
    </row>
    <row r="64" spans="1:32" s="9" customFormat="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82"/>
      <c r="L64" s="59"/>
      <c r="M64" s="59"/>
      <c r="N64" s="59"/>
      <c r="O64" s="59"/>
      <c r="P64" s="44"/>
      <c r="Q64" s="44"/>
      <c r="R64" s="44"/>
      <c r="S64" s="44"/>
      <c r="T64" s="44"/>
      <c r="U64" s="44"/>
      <c r="V64" s="44"/>
      <c r="W64" s="6"/>
      <c r="X64" s="6"/>
      <c r="Y64" s="6"/>
      <c r="Z64" s="23"/>
      <c r="AA64" s="23"/>
      <c r="AB64" s="23"/>
      <c r="AC64" s="23"/>
      <c r="AD64" s="23"/>
      <c r="AE64" s="23"/>
      <c r="AF64" s="23"/>
    </row>
    <row r="65" spans="1:32" s="9" customFormat="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82"/>
      <c r="L65" s="59"/>
      <c r="M65" s="59"/>
      <c r="N65" s="59"/>
      <c r="O65" s="59"/>
      <c r="P65" s="44"/>
      <c r="Q65" s="44"/>
      <c r="R65" s="44"/>
      <c r="S65" s="44"/>
      <c r="T65" s="44"/>
      <c r="U65" s="44"/>
      <c r="V65" s="44"/>
      <c r="W65" s="6"/>
      <c r="X65" s="6"/>
      <c r="Y65" s="6"/>
      <c r="Z65" s="23"/>
      <c r="AA65" s="23"/>
      <c r="AB65" s="23"/>
      <c r="AC65" s="23"/>
      <c r="AD65" s="23"/>
      <c r="AE65" s="23"/>
      <c r="AF65" s="23"/>
    </row>
    <row r="66" spans="1:32" s="9" customFormat="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82"/>
      <c r="L66" s="59"/>
      <c r="M66" s="59"/>
      <c r="N66" s="59"/>
      <c r="O66" s="59"/>
      <c r="P66" s="44"/>
      <c r="Q66" s="44"/>
      <c r="R66" s="44"/>
      <c r="S66" s="44"/>
      <c r="T66" s="44"/>
      <c r="U66" s="44"/>
      <c r="V66" s="44"/>
      <c r="W66" s="6"/>
      <c r="X66" s="6"/>
      <c r="Y66" s="6"/>
      <c r="Z66" s="23"/>
      <c r="AA66" s="23"/>
      <c r="AB66" s="23"/>
      <c r="AC66" s="23"/>
      <c r="AD66" s="23"/>
      <c r="AE66" s="23"/>
      <c r="AF66" s="23"/>
    </row>
    <row r="67" spans="1:32" s="207" customFormat="1" ht="12.7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4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203"/>
      <c r="AA67" s="203"/>
      <c r="AB67" s="203"/>
      <c r="AC67" s="203"/>
      <c r="AD67" s="203"/>
      <c r="AE67" s="203"/>
      <c r="AF67" s="203"/>
    </row>
    <row r="68" spans="1:32" s="207" customFormat="1" ht="12.75" customHeight="1">
      <c r="A68" s="431"/>
      <c r="B68" s="495" t="s">
        <v>210</v>
      </c>
      <c r="C68" s="496"/>
      <c r="D68" s="171"/>
      <c r="E68" s="171"/>
      <c r="F68" s="171"/>
      <c r="G68" s="171"/>
      <c r="H68" s="171"/>
      <c r="I68" s="171"/>
      <c r="J68" s="171"/>
      <c r="K68" s="174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203"/>
      <c r="AA68" s="203"/>
      <c r="AB68" s="203"/>
      <c r="AC68" s="203"/>
      <c r="AD68" s="203"/>
      <c r="AE68" s="203"/>
      <c r="AF68" s="203"/>
    </row>
    <row r="69" spans="1:32" s="207" customFormat="1" ht="12.75" customHeight="1">
      <c r="A69" s="431"/>
      <c r="B69" s="497" t="s">
        <v>211</v>
      </c>
      <c r="C69" s="388" t="s">
        <v>212</v>
      </c>
      <c r="D69" s="463">
        <f>1Tепло!AV29</f>
        <v>1</v>
      </c>
      <c r="E69" s="203" t="s">
        <v>213</v>
      </c>
      <c r="F69" s="203" t="str">
        <f>INDEX(1Tепло!B16:B22,D69,1)</f>
        <v>Сосна и ель(поперек волок.)</v>
      </c>
      <c r="G69" s="203"/>
      <c r="H69" s="203"/>
      <c r="I69" s="203"/>
      <c r="J69" s="203"/>
      <c r="K69" s="206"/>
      <c r="L69" s="203"/>
      <c r="M69" s="203"/>
      <c r="N69" s="203"/>
      <c r="O69" s="192"/>
      <c r="P69" s="192"/>
      <c r="Q69"/>
      <c r="R69"/>
      <c r="S69"/>
      <c r="T69" s="109"/>
      <c r="U69" s="171"/>
      <c r="V69" s="171"/>
      <c r="W69" s="171"/>
      <c r="X69" s="171"/>
      <c r="Y69" s="171"/>
      <c r="Z69" s="203"/>
      <c r="AA69" s="203"/>
      <c r="AB69" s="203"/>
      <c r="AC69" s="203"/>
      <c r="AD69" s="203"/>
      <c r="AE69" s="203"/>
      <c r="AF69" s="203"/>
    </row>
    <row r="70" spans="1:32" s="207" customFormat="1" ht="12.75" customHeight="1">
      <c r="A70" s="431"/>
      <c r="B70" s="390" t="s">
        <v>214</v>
      </c>
      <c r="C70" s="415">
        <f>INDEX(L38:L44,D69,1)</f>
        <v>360</v>
      </c>
      <c r="D70" s="415" t="s">
        <v>157</v>
      </c>
      <c r="E70" s="203" t="s">
        <v>844</v>
      </c>
      <c r="F70" s="203"/>
      <c r="G70" s="203"/>
      <c r="H70" s="203"/>
      <c r="I70" s="203"/>
      <c r="J70" s="203"/>
      <c r="K70" s="206"/>
      <c r="L70"/>
      <c r="M70" s="203"/>
      <c r="N70" s="203"/>
      <c r="O70"/>
      <c r="P70" s="109"/>
      <c r="Q70" s="192"/>
      <c r="R70" s="192"/>
      <c r="S70" s="172" t="str">
        <f>INDEX(C38:C44,D69,1)</f>
        <v> 1/2</v>
      </c>
      <c r="T70" s="192"/>
      <c r="U70" s="171"/>
      <c r="V70" s="171"/>
      <c r="W70" s="171"/>
      <c r="X70" s="171"/>
      <c r="Y70" s="171"/>
      <c r="Z70" s="203"/>
      <c r="AA70" s="203"/>
      <c r="AB70" s="203"/>
      <c r="AC70" s="203"/>
      <c r="AD70" s="203"/>
      <c r="AE70" s="203"/>
      <c r="AF70" s="203"/>
    </row>
    <row r="71" spans="1:32" s="207" customFormat="1" ht="12.75" customHeight="1">
      <c r="A71" s="192"/>
      <c r="B71" s="171"/>
      <c r="C71" s="192"/>
      <c r="D71" s="192"/>
      <c r="E71" s="192"/>
      <c r="F71" s="192"/>
      <c r="G71" s="192"/>
      <c r="H71" s="192"/>
      <c r="I71" s="192"/>
      <c r="J71" s="192"/>
      <c r="K71" s="234"/>
      <c r="L71" s="192"/>
      <c r="M71" s="192"/>
      <c r="N71" s="192"/>
      <c r="O71" s="192"/>
      <c r="P71" s="192"/>
      <c r="Q71" s="192"/>
      <c r="R71" s="192"/>
      <c r="S71" s="192"/>
      <c r="T71" s="192"/>
      <c r="U71" s="171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</row>
    <row r="72" spans="1:32" s="207" customFormat="1" ht="12.75" customHeight="1">
      <c r="A72" s="171"/>
      <c r="B72" s="277" t="s">
        <v>215</v>
      </c>
      <c r="C72" s="171"/>
      <c r="D72" s="194"/>
      <c r="E72" s="197"/>
      <c r="F72" s="197"/>
      <c r="G72" s="358"/>
      <c r="H72" s="194"/>
      <c r="I72" s="223"/>
      <c r="J72" s="223"/>
      <c r="K72" s="234"/>
      <c r="L72" s="192"/>
      <c r="M72" s="235"/>
      <c r="N72" s="192"/>
      <c r="O72" s="192"/>
      <c r="P72" s="192"/>
      <c r="Q72" s="397"/>
      <c r="R72" s="192"/>
      <c r="S72" s="192"/>
      <c r="T72" s="192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</row>
    <row r="73" spans="1:32" s="207" customFormat="1" ht="12.75" customHeight="1">
      <c r="A73" s="192"/>
      <c r="B73" s="270" t="s">
        <v>216</v>
      </c>
      <c r="C73" s="398" t="s">
        <v>217</v>
      </c>
      <c r="D73" s="399" t="s">
        <v>218</v>
      </c>
      <c r="E73" s="400" t="s">
        <v>219</v>
      </c>
      <c r="F73" s="399" t="s">
        <v>220</v>
      </c>
      <c r="G73" s="400" t="s">
        <v>221</v>
      </c>
      <c r="H73" s="399" t="s">
        <v>222</v>
      </c>
      <c r="I73" s="400" t="s">
        <v>223</v>
      </c>
      <c r="J73" s="171"/>
      <c r="K73" s="401"/>
      <c r="L73" s="171"/>
      <c r="M73" s="402"/>
      <c r="N73" s="171"/>
      <c r="O73" s="192"/>
      <c r="P73" s="192"/>
      <c r="Q73" s="192"/>
      <c r="R73" s="192"/>
      <c r="S73" s="192"/>
      <c r="T73" s="192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</row>
    <row r="74" spans="1:32" s="207" customFormat="1" ht="12.75" customHeight="1">
      <c r="A74" s="109"/>
      <c r="B74" s="383" t="s">
        <v>224</v>
      </c>
      <c r="C74" s="403" t="s">
        <v>225</v>
      </c>
      <c r="D74" s="404">
        <f>INDEX(E37:E44,D69,1)</f>
        <v>2366</v>
      </c>
      <c r="E74" s="407" t="s">
        <v>226</v>
      </c>
      <c r="F74" s="405">
        <f>R17</f>
        <v>3</v>
      </c>
      <c r="G74" s="406" t="s">
        <v>227</v>
      </c>
      <c r="H74" s="404">
        <f>INDEX(H37:H44,D69,1)</f>
        <v>2456</v>
      </c>
      <c r="I74" s="407" t="s">
        <v>226</v>
      </c>
      <c r="J74" s="408">
        <f>R18</f>
        <v>4</v>
      </c>
      <c r="K74" s="406" t="s">
        <v>227</v>
      </c>
      <c r="L74" s="409">
        <f>INDEX(J37:J44,D69,1)</f>
        <v>2580</v>
      </c>
      <c r="M74" s="407" t="s">
        <v>226</v>
      </c>
      <c r="N74" s="410">
        <f>R19</f>
        <v>5</v>
      </c>
      <c r="O74" s="109" t="s">
        <v>228</v>
      </c>
      <c r="P74" s="109"/>
      <c r="Q74" s="109"/>
      <c r="R74" s="192"/>
      <c r="S74" s="192"/>
      <c r="T74" s="192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</row>
    <row r="75" spans="1:32" s="207" customFormat="1" ht="12.75" customHeight="1">
      <c r="A75" s="194"/>
      <c r="B75" s="417">
        <v>12</v>
      </c>
      <c r="C75" s="171"/>
      <c r="D75" s="208" t="s">
        <v>229</v>
      </c>
      <c r="E75" s="416">
        <f>D74*F74</f>
        <v>7098</v>
      </c>
      <c r="F75" s="418" t="s">
        <v>227</v>
      </c>
      <c r="G75" s="205">
        <f>H74*J74</f>
        <v>9824</v>
      </c>
      <c r="H75" s="418" t="s">
        <v>230</v>
      </c>
      <c r="I75" s="365">
        <f>L74*N74</f>
        <v>12900</v>
      </c>
      <c r="J75" s="362" t="s">
        <v>231</v>
      </c>
      <c r="K75" s="419">
        <f>0.0833*(D74*F74+H74*J74+L74*N74)</f>
        <v>2484.1726</v>
      </c>
      <c r="L75" s="415" t="s">
        <v>157</v>
      </c>
      <c r="M75" s="235"/>
      <c r="N75" s="192"/>
      <c r="O75" s="192"/>
      <c r="P75" s="192"/>
      <c r="Q75" s="192"/>
      <c r="R75" s="192"/>
      <c r="S75" s="192"/>
      <c r="T75" s="192"/>
      <c r="U75" s="171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</row>
    <row r="76" spans="1:32" s="207" customFormat="1" ht="12.75" customHeight="1">
      <c r="A76" s="194"/>
      <c r="B76" s="347"/>
      <c r="C76" s="194"/>
      <c r="D76" s="194"/>
      <c r="E76" s="197"/>
      <c r="F76" s="197"/>
      <c r="G76" s="358"/>
      <c r="H76" s="194"/>
      <c r="I76" s="223"/>
      <c r="J76" s="223"/>
      <c r="K76" s="234"/>
      <c r="L76" s="192"/>
      <c r="M76" s="235"/>
      <c r="N76" s="192"/>
      <c r="O76" s="192"/>
      <c r="P76" s="192"/>
      <c r="Q76" s="192"/>
      <c r="R76" s="192"/>
      <c r="S76" s="192"/>
      <c r="T76" s="192"/>
      <c r="U76" s="171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</row>
    <row r="77" spans="1:32" s="207" customFormat="1" ht="12.75" customHeight="1" thickBot="1">
      <c r="A77" s="171"/>
      <c r="B77" s="277" t="s">
        <v>232</v>
      </c>
      <c r="C77" s="171"/>
      <c r="D77" s="194"/>
      <c r="E77" s="197"/>
      <c r="F77" s="197"/>
      <c r="G77" s="358"/>
      <c r="H77" s="194"/>
      <c r="I77" s="223"/>
      <c r="J77" s="223"/>
      <c r="K77" s="234"/>
      <c r="L77" s="192"/>
      <c r="M77" s="235"/>
      <c r="N77" s="192"/>
      <c r="O77" s="192"/>
      <c r="P77" s="192"/>
      <c r="Q77" s="192"/>
      <c r="R77" s="192"/>
      <c r="S77" s="192"/>
      <c r="T77" s="192"/>
      <c r="U77" s="171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</row>
    <row r="78" spans="1:32" s="207" customFormat="1" ht="12.75" customHeight="1">
      <c r="A78" s="194"/>
      <c r="B78" s="347"/>
      <c r="C78" s="194"/>
      <c r="D78" s="411" t="s">
        <v>233</v>
      </c>
      <c r="E78" s="412" t="s">
        <v>234</v>
      </c>
      <c r="F78" s="412" t="s">
        <v>235</v>
      </c>
      <c r="G78" s="412" t="s">
        <v>236</v>
      </c>
      <c r="H78" s="412" t="s">
        <v>237</v>
      </c>
      <c r="I78" s="412" t="s">
        <v>238</v>
      </c>
      <c r="J78" s="412" t="s">
        <v>239</v>
      </c>
      <c r="K78" s="413" t="s">
        <v>240</v>
      </c>
      <c r="L78" s="412" t="s">
        <v>241</v>
      </c>
      <c r="M78" s="412" t="s">
        <v>242</v>
      </c>
      <c r="N78" s="412" t="s">
        <v>243</v>
      </c>
      <c r="O78" s="414" t="s">
        <v>244</v>
      </c>
      <c r="P78" s="192"/>
      <c r="Q78" s="192"/>
      <c r="R78" s="192"/>
      <c r="S78" s="192"/>
      <c r="T78" s="192"/>
      <c r="U78" s="171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</row>
    <row r="79" spans="1:32" s="207" customFormat="1" ht="12.75" customHeight="1">
      <c r="A79" s="194"/>
      <c r="B79" s="347"/>
      <c r="C79" s="194"/>
      <c r="D79" s="596">
        <f>INDEX(Tab!T171:AE242,1Tепло!AD28,1)</f>
        <v>280</v>
      </c>
      <c r="E79" s="597">
        <f>INDEX(Tab!T171:AE242,1Tепло!AD28,2)</f>
        <v>290</v>
      </c>
      <c r="F79" s="597">
        <f>INDEX(Tab!T171:AE242,1Tепло!AD28,3)</f>
        <v>370</v>
      </c>
      <c r="G79" s="597">
        <f>INDEX(Tab!T171:AE242,1Tепло!AD28,4)</f>
        <v>600</v>
      </c>
      <c r="H79" s="597">
        <f>INDEX(Tab!T171:AE242,1Tепло!AD28,5)</f>
        <v>890</v>
      </c>
      <c r="I79" s="597">
        <f>INDEX(Tab!T171:AE242,1Tепло!AD28,6)</f>
        <v>1240</v>
      </c>
      <c r="J79" s="597">
        <f>INDEX(Tab!T171:AE242,1Tепло!AD28,7)</f>
        <v>1470</v>
      </c>
      <c r="K79" s="597">
        <f>INDEX(Tab!T171:AE242,1Tепло!AD28,8)</f>
        <v>1420</v>
      </c>
      <c r="L79" s="597">
        <f>INDEX(Tab!T171:AE242,1Tепло!AD28,9)</f>
        <v>1040</v>
      </c>
      <c r="M79" s="597">
        <f>INDEX(Tab!T171:AE242,1Tепло!AD28,10)</f>
        <v>690</v>
      </c>
      <c r="N79" s="597">
        <f>INDEX(Tab!T171:AE242,1Tепло!AD28,11)</f>
        <v>480</v>
      </c>
      <c r="O79" s="598">
        <f>INDEX(Tab!T171:AE242,1Tепло!AD28,12)</f>
        <v>360</v>
      </c>
      <c r="P79" s="171"/>
      <c r="Q79" s="171"/>
      <c r="R79" s="192"/>
      <c r="S79" s="192"/>
      <c r="T79" s="192"/>
      <c r="U79" s="171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</row>
    <row r="80" spans="1:45" s="207" customFormat="1" ht="12.75" customHeight="1">
      <c r="A80"/>
      <c r="B80" s="205" t="s">
        <v>245</v>
      </c>
      <c r="C80" s="194"/>
      <c r="D80" s="194"/>
      <c r="E80" s="197"/>
      <c r="F80" s="197"/>
      <c r="G80" s="358"/>
      <c r="H80" s="194"/>
      <c r="I80" s="223"/>
      <c r="J80"/>
      <c r="K80"/>
      <c r="L80" s="461">
        <f>SUM(D79:O79)/12</f>
        <v>760.8333333333334</v>
      </c>
      <c r="M80" s="303" t="s">
        <v>157</v>
      </c>
      <c r="N80" s="192"/>
      <c r="O80"/>
      <c r="P80"/>
      <c r="Q80" s="192"/>
      <c r="R80" s="192"/>
      <c r="S80" s="192"/>
      <c r="T80" s="192"/>
      <c r="U80" s="171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S80" s="715"/>
    </row>
    <row r="81" spans="1:32" s="207" customFormat="1" ht="12.7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4"/>
      <c r="L81" s="171"/>
      <c r="M81" s="171"/>
      <c r="N81" s="171"/>
      <c r="O81" s="171" t="s">
        <v>0</v>
      </c>
      <c r="P81" s="171"/>
      <c r="Q81" s="171"/>
      <c r="R81" s="171"/>
      <c r="S81" s="171"/>
      <c r="T81" s="171"/>
      <c r="U81" s="171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</row>
    <row r="82" spans="1:32" s="207" customFormat="1" ht="12.75" customHeight="1" thickBot="1">
      <c r="A82" s="171"/>
      <c r="B82" s="277" t="s">
        <v>246</v>
      </c>
      <c r="C82" s="203"/>
      <c r="D82" s="203"/>
      <c r="E82" s="203"/>
      <c r="F82" s="171"/>
      <c r="G82" s="171"/>
      <c r="H82" s="171"/>
      <c r="I82" s="171"/>
      <c r="J82" s="171"/>
      <c r="K82" s="174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</row>
    <row r="83" spans="1:32" s="207" customFormat="1" ht="12.75" customHeight="1">
      <c r="A83" s="171"/>
      <c r="B83" s="171"/>
      <c r="C83" s="171"/>
      <c r="D83" s="411" t="s">
        <v>233</v>
      </c>
      <c r="E83" s="412" t="s">
        <v>234</v>
      </c>
      <c r="F83" s="412" t="s">
        <v>235</v>
      </c>
      <c r="G83" s="412" t="s">
        <v>236</v>
      </c>
      <c r="H83" s="412" t="s">
        <v>237</v>
      </c>
      <c r="I83" s="412" t="s">
        <v>238</v>
      </c>
      <c r="J83" s="412" t="s">
        <v>239</v>
      </c>
      <c r="K83" s="413" t="s">
        <v>240</v>
      </c>
      <c r="L83" s="412" t="s">
        <v>241</v>
      </c>
      <c r="M83" s="412" t="s">
        <v>242</v>
      </c>
      <c r="N83" s="412" t="s">
        <v>243</v>
      </c>
      <c r="O83" s="414" t="s">
        <v>244</v>
      </c>
      <c r="P83" s="171"/>
      <c r="Q83" s="171"/>
      <c r="R83" s="171"/>
      <c r="S83" s="171"/>
      <c r="T83" s="171"/>
      <c r="U83" s="171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</row>
    <row r="84" spans="1:32" s="207" customFormat="1" ht="12.75" customHeight="1" thickBot="1">
      <c r="A84" s="171"/>
      <c r="B84" s="171"/>
      <c r="C84" s="171"/>
      <c r="D84" s="328">
        <f>D79</f>
        <v>280</v>
      </c>
      <c r="E84" s="352">
        <f>IF(D16&lt;0,E79)+IF(D16&gt;=0,0)</f>
        <v>290</v>
      </c>
      <c r="F84" s="352">
        <f>IF(E16&lt;0,F79)+IF(E16&gt;=0,0)</f>
        <v>370</v>
      </c>
      <c r="G84" s="353">
        <f>IF(F16&lt;0,G79)+IF(F16&gt;=0,0)</f>
        <v>0</v>
      </c>
      <c r="H84" s="352">
        <v>0</v>
      </c>
      <c r="I84" s="353">
        <v>0</v>
      </c>
      <c r="J84" s="353">
        <v>0</v>
      </c>
      <c r="K84" s="354">
        <v>0</v>
      </c>
      <c r="L84" s="352">
        <v>0</v>
      </c>
      <c r="M84" s="353">
        <f>IF(L16&lt;0,M79)+IF(L16&gt;=0,0)</f>
        <v>0</v>
      </c>
      <c r="N84" s="352">
        <f>IF(M16&lt;0,N79)+IF(M16&gt;=0,0)</f>
        <v>480</v>
      </c>
      <c r="O84" s="329">
        <f>IF(N16&lt;0,O79)+IF(N16&gt;=0,0)</f>
        <v>360</v>
      </c>
      <c r="P84" s="192"/>
      <c r="Q84" s="192"/>
      <c r="R84" s="192"/>
      <c r="S84" s="192"/>
      <c r="T84" s="192"/>
      <c r="U84" s="171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</row>
    <row r="85" spans="1:32" s="207" customFormat="1" ht="12.75" customHeight="1">
      <c r="A85"/>
      <c r="B85" s="205" t="s">
        <v>247</v>
      </c>
      <c r="C85" s="1020" t="s">
        <v>248</v>
      </c>
      <c r="D85" s="204">
        <f>SUM(D84:O84)/R20</f>
        <v>356</v>
      </c>
      <c r="E85" s="435" t="s">
        <v>157</v>
      </c>
      <c r="F85" s="171"/>
      <c r="G85" s="171"/>
      <c r="H85" s="171"/>
      <c r="I85" s="171"/>
      <c r="J85" s="171"/>
      <c r="K85" s="174"/>
      <c r="L85" s="171"/>
      <c r="M85" s="171"/>
      <c r="N85" s="171"/>
      <c r="O85" s="171"/>
      <c r="P85" s="171"/>
      <c r="Q85" s="171"/>
      <c r="R85" s="171"/>
      <c r="S85" s="171"/>
      <c r="T85" s="171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</row>
    <row r="86" spans="1:32" s="207" customFormat="1" ht="12.75" customHeight="1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4"/>
      <c r="L86" s="171"/>
      <c r="M86" s="171"/>
      <c r="N86" s="171"/>
      <c r="O86" s="171"/>
      <c r="P86" s="171"/>
      <c r="Q86" s="171"/>
      <c r="R86" s="171"/>
      <c r="S86" s="171"/>
      <c r="T86" s="171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</row>
    <row r="87" spans="1:32" s="207" customFormat="1" ht="12.75" customHeight="1" thickBot="1">
      <c r="A87" s="171"/>
      <c r="B87" s="203" t="s">
        <v>249</v>
      </c>
      <c r="C87" s="203"/>
      <c r="D87" s="203"/>
      <c r="E87" s="203"/>
      <c r="F87" s="203"/>
      <c r="G87" s="203"/>
      <c r="H87" s="203"/>
      <c r="I87" s="203"/>
      <c r="J87" s="203"/>
      <c r="K87" s="206"/>
      <c r="L87" s="203"/>
      <c r="M87" s="203"/>
      <c r="N87" s="203"/>
      <c r="O87" s="203"/>
      <c r="P87" s="171"/>
      <c r="Q87" s="171"/>
      <c r="R87" s="171"/>
      <c r="S87" s="171"/>
      <c r="T87" s="171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</row>
    <row r="88" spans="1:32" s="207" customFormat="1" ht="12.75" customHeight="1" thickBot="1">
      <c r="A88" s="171"/>
      <c r="B88" s="266" t="s">
        <v>250</v>
      </c>
      <c r="C88" s="203" t="s">
        <v>251</v>
      </c>
      <c r="D88" s="203"/>
      <c r="E88" s="1145">
        <f>((D89-G89)*J89)/(G89-N89)</f>
        <v>0</v>
      </c>
      <c r="F88" s="363" t="s">
        <v>123</v>
      </c>
      <c r="G88" s="206"/>
      <c r="H88"/>
      <c r="I88" s="203"/>
      <c r="J88" s="203"/>
      <c r="K88" s="206"/>
      <c r="L88" s="365"/>
      <c r="M88" s="172"/>
      <c r="N88" s="203"/>
      <c r="O88" s="203"/>
      <c r="P88" s="171"/>
      <c r="Q88" s="171"/>
      <c r="R88" s="171"/>
      <c r="S88" s="171"/>
      <c r="T88" s="171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</row>
    <row r="89" spans="1:32" s="207" customFormat="1" ht="12.75" customHeight="1">
      <c r="A89" s="192"/>
      <c r="B89" s="206" t="s">
        <v>252</v>
      </c>
      <c r="C89" s="206" t="s">
        <v>162</v>
      </c>
      <c r="D89" s="1023">
        <f>J25</f>
        <v>1718.6</v>
      </c>
      <c r="E89" s="415" t="s">
        <v>253</v>
      </c>
      <c r="F89" s="206" t="s">
        <v>254</v>
      </c>
      <c r="G89" s="1023">
        <f>K75</f>
        <v>2484.1726</v>
      </c>
      <c r="H89" s="415" t="s">
        <v>253</v>
      </c>
      <c r="I89" s="206" t="s">
        <v>255</v>
      </c>
      <c r="J89" s="261">
        <f>C12</f>
        <v>0</v>
      </c>
      <c r="K89" s="436" t="s">
        <v>256</v>
      </c>
      <c r="L89" s="203"/>
      <c r="M89" s="206" t="s">
        <v>257</v>
      </c>
      <c r="N89" s="1023">
        <f>L80</f>
        <v>760.8333333333334</v>
      </c>
      <c r="O89" s="415" t="s">
        <v>258</v>
      </c>
      <c r="P89" s="192"/>
      <c r="Q89" s="192"/>
      <c r="R89" s="192"/>
      <c r="S89" s="192"/>
      <c r="T89" s="192"/>
      <c r="U89" s="203"/>
      <c r="V89" s="171"/>
      <c r="W89" s="171"/>
      <c r="X89" s="171"/>
      <c r="Y89" s="203"/>
      <c r="Z89" s="203"/>
      <c r="AA89" s="203"/>
      <c r="AB89" s="203"/>
      <c r="AC89" s="203"/>
      <c r="AD89" s="203"/>
      <c r="AE89" s="203"/>
      <c r="AF89" s="203"/>
    </row>
    <row r="90" spans="1:32" s="207" customFormat="1" ht="12.75" customHeight="1">
      <c r="A90" s="171"/>
      <c r="B90" s="203"/>
      <c r="C90" s="203"/>
      <c r="D90" s="203"/>
      <c r="E90" s="203"/>
      <c r="F90" s="203"/>
      <c r="G90" s="203"/>
      <c r="H90" s="203"/>
      <c r="I90" s="203"/>
      <c r="J90" s="203"/>
      <c r="K90" s="437"/>
      <c r="L90" s="203"/>
      <c r="M90" s="203"/>
      <c r="N90" s="203"/>
      <c r="O90" s="203"/>
      <c r="P90" s="171"/>
      <c r="Q90" s="171"/>
      <c r="R90" s="171"/>
      <c r="S90" s="171"/>
      <c r="T90" s="171"/>
      <c r="U90" s="171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</row>
    <row r="91" spans="1:32" s="207" customFormat="1" ht="12.75" customHeight="1">
      <c r="A91" s="171"/>
      <c r="B91" s="203" t="s">
        <v>259</v>
      </c>
      <c r="C91" s="203"/>
      <c r="D91" s="203"/>
      <c r="E91" s="203"/>
      <c r="F91" s="203"/>
      <c r="G91" s="203"/>
      <c r="H91" s="203"/>
      <c r="I91" s="203"/>
      <c r="J91" s="203"/>
      <c r="K91" s="206"/>
      <c r="L91" s="203"/>
      <c r="M91" s="203"/>
      <c r="N91" s="203"/>
      <c r="O91" s="203"/>
      <c r="P91" s="171"/>
      <c r="Q91" s="171"/>
      <c r="R91" s="171"/>
      <c r="S91" s="171"/>
      <c r="T91" s="171"/>
      <c r="U91" s="203"/>
      <c r="V91" s="203"/>
      <c r="W91" s="171"/>
      <c r="X91" s="171"/>
      <c r="Y91" s="203"/>
      <c r="Z91" s="203"/>
      <c r="AA91" s="203"/>
      <c r="AB91" s="203"/>
      <c r="AC91" s="203"/>
      <c r="AD91" s="203"/>
      <c r="AE91" s="203"/>
      <c r="AF91" s="203"/>
    </row>
    <row r="92" spans="1:32" s="207" customFormat="1" ht="12.75" customHeight="1" thickBot="1">
      <c r="A92" s="171"/>
      <c r="B92" s="203"/>
      <c r="C92" s="203"/>
      <c r="D92" s="203"/>
      <c r="E92" s="203"/>
      <c r="F92" s="203"/>
      <c r="G92" s="203"/>
      <c r="H92" s="203"/>
      <c r="I92" s="203"/>
      <c r="J92" s="203"/>
      <c r="K92" s="206"/>
      <c r="L92" s="203"/>
      <c r="M92" s="203"/>
      <c r="N92" s="203"/>
      <c r="O92" s="203"/>
      <c r="P92" s="171"/>
      <c r="Q92" s="171"/>
      <c r="R92" s="171"/>
      <c r="S92" s="171"/>
      <c r="T92" s="171"/>
      <c r="U92" s="203"/>
      <c r="V92" s="203"/>
      <c r="W92" s="171"/>
      <c r="X92" s="171"/>
      <c r="Y92" s="203"/>
      <c r="Z92" s="203"/>
      <c r="AA92" s="203"/>
      <c r="AB92" s="203"/>
      <c r="AC92" s="203"/>
      <c r="AD92" s="203"/>
      <c r="AE92" s="203"/>
      <c r="AF92" s="203"/>
    </row>
    <row r="93" spans="1:32" s="207" customFormat="1" ht="12.75" customHeight="1" thickBot="1">
      <c r="A93" s="192"/>
      <c r="B93" s="1143" t="s">
        <v>260</v>
      </c>
      <c r="C93" s="1144" t="s">
        <v>675</v>
      </c>
      <c r="D93" s="1144"/>
      <c r="E93" s="203"/>
      <c r="F93" s="203"/>
      <c r="G93" s="456" t="e">
        <f>0.0024*C96*(D89-C70)/(C97*C98*C99+G101)</f>
        <v>#DIV/0!</v>
      </c>
      <c r="H93" s="363" t="s">
        <v>123</v>
      </c>
      <c r="I93"/>
      <c r="J93" s="203"/>
      <c r="K93" s="174"/>
      <c r="L93" s="171"/>
      <c r="M93" s="171"/>
      <c r="N93" s="171"/>
      <c r="O93" s="171"/>
      <c r="P93" s="171"/>
      <c r="Q93" s="171"/>
      <c r="R93" s="192"/>
      <c r="S93" s="233"/>
      <c r="T93" s="192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</row>
    <row r="94" spans="1:32" s="207" customFormat="1" ht="12.75" customHeight="1">
      <c r="A94" s="171"/>
      <c r="B94" s="206" t="s">
        <v>261</v>
      </c>
      <c r="C94" s="203"/>
      <c r="D94" s="203"/>
      <c r="E94" s="203"/>
      <c r="F94" s="203"/>
      <c r="G94" s="203"/>
      <c r="H94" s="203"/>
      <c r="I94" s="203"/>
      <c r="J94" s="203"/>
      <c r="K94" s="174"/>
      <c r="L94" s="171"/>
      <c r="M94" s="171"/>
      <c r="N94" s="171"/>
      <c r="O94" s="171"/>
      <c r="P94" s="171"/>
      <c r="Q94" s="171"/>
      <c r="R94" s="171"/>
      <c r="S94" s="171"/>
      <c r="T94" s="171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</row>
    <row r="95" spans="1:46" s="207" customFormat="1" ht="12.75" customHeight="1">
      <c r="A95" s="171"/>
      <c r="B95" s="206" t="s">
        <v>214</v>
      </c>
      <c r="C95" s="206">
        <f>C70</f>
        <v>360</v>
      </c>
      <c r="D95" s="415" t="s">
        <v>258</v>
      </c>
      <c r="E95" s="203"/>
      <c r="F95" s="203"/>
      <c r="G95" s="203"/>
      <c r="H95" s="203"/>
      <c r="I95" s="203"/>
      <c r="J95" s="203"/>
      <c r="K95" s="174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203"/>
      <c r="AB95" s="203"/>
      <c r="AC95" s="203"/>
      <c r="AD95" s="203"/>
      <c r="AE95" s="203"/>
      <c r="AF95" s="203"/>
      <c r="AR95" s="718"/>
      <c r="AS95" s="718"/>
      <c r="AT95" s="718"/>
    </row>
    <row r="96" spans="1:46" s="207" customFormat="1" ht="12.75" customHeight="1">
      <c r="A96" s="194"/>
      <c r="B96" s="1019" t="s">
        <v>262</v>
      </c>
      <c r="C96" s="365">
        <f>R20*30.3</f>
        <v>151.5</v>
      </c>
      <c r="D96" s="203" t="s">
        <v>263</v>
      </c>
      <c r="E96" s="205"/>
      <c r="F96" s="205"/>
      <c r="G96" s="280"/>
      <c r="H96" s="205"/>
      <c r="I96" s="280"/>
      <c r="J96" s="280"/>
      <c r="K96" s="206"/>
      <c r="L96" s="203"/>
      <c r="M96" s="281"/>
      <c r="N96" s="192"/>
      <c r="O96" s="192"/>
      <c r="P96" s="192"/>
      <c r="Q96" s="192"/>
      <c r="R96" s="192"/>
      <c r="S96" s="192"/>
      <c r="T96" s="192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R96" s="718"/>
      <c r="AS96" s="718"/>
      <c r="AT96" s="718"/>
    </row>
    <row r="97" spans="1:46" s="207" customFormat="1" ht="12.75" customHeight="1">
      <c r="A97" s="195"/>
      <c r="B97" s="1018" t="s">
        <v>264</v>
      </c>
      <c r="C97" s="205">
        <f>INDEX(1Tепло!H16:H22,D69,1)</f>
        <v>500</v>
      </c>
      <c r="D97" s="416" t="s">
        <v>265</v>
      </c>
      <c r="E97" s="205"/>
      <c r="F97" s="205"/>
      <c r="G97" s="280"/>
      <c r="H97" s="205"/>
      <c r="I97" s="280"/>
      <c r="J97" s="280"/>
      <c r="K97" s="206"/>
      <c r="L97" s="203"/>
      <c r="M97" s="281"/>
      <c r="N97" s="192"/>
      <c r="O97" s="192"/>
      <c r="P97" s="192"/>
      <c r="Q97" s="192"/>
      <c r="R97" s="192"/>
      <c r="S97" s="192"/>
      <c r="T97" s="192"/>
      <c r="U97" s="203"/>
      <c r="V97" s="203"/>
      <c r="W97" s="203"/>
      <c r="X97" s="203"/>
      <c r="Y97" s="205"/>
      <c r="Z97" s="205"/>
      <c r="AA97" s="205"/>
      <c r="AB97" s="205"/>
      <c r="AC97" s="203"/>
      <c r="AD97" s="203"/>
      <c r="AE97" s="203"/>
      <c r="AF97" s="203"/>
      <c r="AR97" s="718"/>
      <c r="AS97" s="718"/>
      <c r="AT97" s="718"/>
    </row>
    <row r="98" spans="1:46" s="207" customFormat="1" ht="12.75" customHeight="1">
      <c r="A98" s="194"/>
      <c r="B98" s="455" t="s">
        <v>266</v>
      </c>
      <c r="C98" s="441">
        <f>INDEX(1Tепло!D16:D22,D69,1)/1000</f>
        <v>0.43</v>
      </c>
      <c r="D98" s="438" t="s">
        <v>267</v>
      </c>
      <c r="E98" s="439"/>
      <c r="F98" s="440"/>
      <c r="G98" s="439"/>
      <c r="H98" s="440"/>
      <c r="I98" s="439"/>
      <c r="J98" s="440"/>
      <c r="K98" s="439"/>
      <c r="L98" s="440"/>
      <c r="M98" s="439"/>
      <c r="N98" s="420"/>
      <c r="O98" s="421"/>
      <c r="P98" s="421"/>
      <c r="Q98" s="421"/>
      <c r="R98" s="421"/>
      <c r="S98" s="421"/>
      <c r="T98" s="421"/>
      <c r="U98" s="422"/>
      <c r="V98" s="422"/>
      <c r="W98" s="422"/>
      <c r="X98" s="423"/>
      <c r="Y98" s="205"/>
      <c r="Z98" s="595"/>
      <c r="AA98" s="205"/>
      <c r="AB98" s="205"/>
      <c r="AC98" s="203"/>
      <c r="AD98" s="203"/>
      <c r="AE98" s="203"/>
      <c r="AF98" s="203"/>
      <c r="AR98" s="718"/>
      <c r="AS98" s="718"/>
      <c r="AT98" s="718"/>
    </row>
    <row r="99" spans="1:46" s="207" customFormat="1" ht="12.75" customHeight="1">
      <c r="A99" s="194"/>
      <c r="B99" s="455" t="s">
        <v>268</v>
      </c>
      <c r="C99" s="442">
        <f>INDEX(1Tепло!AE16:AE22,D69,1)</f>
        <v>0</v>
      </c>
      <c r="D99" s="205" t="s">
        <v>269</v>
      </c>
      <c r="E99" s="236"/>
      <c r="F99" s="194"/>
      <c r="G99" s="236"/>
      <c r="H99" s="194"/>
      <c r="I99" s="236"/>
      <c r="J99" s="236"/>
      <c r="K99" s="424"/>
      <c r="L99" s="191"/>
      <c r="M99" s="235"/>
      <c r="N99" s="425"/>
      <c r="O99" s="421"/>
      <c r="P99" s="421"/>
      <c r="Q99" s="421"/>
      <c r="R99" s="426"/>
      <c r="S99" s="426"/>
      <c r="T99" s="426"/>
      <c r="U99" s="422"/>
      <c r="V99" s="422"/>
      <c r="W99" s="422"/>
      <c r="X99" s="423"/>
      <c r="Y99" s="126"/>
      <c r="Z99" s="205"/>
      <c r="AA99" s="205"/>
      <c r="AB99" s="205"/>
      <c r="AC99" s="203"/>
      <c r="AD99" s="203"/>
      <c r="AE99" s="203"/>
      <c r="AF99" s="203"/>
      <c r="AR99" s="718"/>
      <c r="AS99" s="718"/>
      <c r="AT99" s="718"/>
    </row>
    <row r="100" spans="1:46" s="207" customFormat="1" ht="12.75" customHeight="1">
      <c r="A100" s="171"/>
      <c r="B100" s="444" t="s">
        <v>270</v>
      </c>
      <c r="C100" s="205" t="s">
        <v>271</v>
      </c>
      <c r="D100" s="445"/>
      <c r="E100" s="364"/>
      <c r="F100" s="1021"/>
      <c r="G100" s="364"/>
      <c r="H100" s="427"/>
      <c r="I100" s="229"/>
      <c r="J100" s="236"/>
      <c r="K100" s="217"/>
      <c r="L100" s="292"/>
      <c r="M100" s="229"/>
      <c r="N100" s="425"/>
      <c r="O100" s="109"/>
      <c r="P100" s="468"/>
      <c r="Q100" s="468"/>
      <c r="R100" s="469"/>
      <c r="S100" s="470"/>
      <c r="T100" s="471"/>
      <c r="U100" s="422"/>
      <c r="V100" s="472"/>
      <c r="W100" s="472"/>
      <c r="X100" s="423"/>
      <c r="Y100" s="468"/>
      <c r="Z100" s="216"/>
      <c r="AA100" s="205"/>
      <c r="AB100" s="205"/>
      <c r="AC100" s="203"/>
      <c r="AD100" s="203"/>
      <c r="AE100" s="203"/>
      <c r="AF100" s="203"/>
      <c r="AR100" s="718"/>
      <c r="AS100" s="718"/>
      <c r="AT100" s="718"/>
    </row>
    <row r="101" spans="1:32" s="207" customFormat="1" ht="12.75" customHeight="1">
      <c r="A101" s="192"/>
      <c r="B101" s="443" t="s">
        <v>272</v>
      </c>
      <c r="C101" s="631" t="s">
        <v>676</v>
      </c>
      <c r="D101" s="205"/>
      <c r="E101" s="205"/>
      <c r="G101" s="1022" t="e">
        <f>0.0024*C96*(C95-C103)/C12</f>
        <v>#DIV/0!</v>
      </c>
      <c r="H101" s="358"/>
      <c r="I101" s="194"/>
      <c r="J101" s="428"/>
      <c r="K101" s="429"/>
      <c r="L101" s="192"/>
      <c r="M101" s="192"/>
      <c r="N101" s="425"/>
      <c r="O101" s="421"/>
      <c r="P101" s="473"/>
      <c r="Q101" s="472"/>
      <c r="R101" s="472"/>
      <c r="S101" s="472"/>
      <c r="T101" s="472"/>
      <c r="U101" s="422"/>
      <c r="V101" s="422"/>
      <c r="W101" s="422"/>
      <c r="X101" s="423"/>
      <c r="Y101" s="423"/>
      <c r="Z101" s="203"/>
      <c r="AA101" s="171"/>
      <c r="AB101" s="171"/>
      <c r="AC101" s="171"/>
      <c r="AD101" s="171"/>
      <c r="AE101" s="203"/>
      <c r="AF101" s="203"/>
    </row>
    <row r="102" spans="1:32" s="207" customFormat="1" ht="12.75" customHeight="1">
      <c r="A102" s="192"/>
      <c r="B102" s="174" t="s">
        <v>261</v>
      </c>
      <c r="C102" s="203"/>
      <c r="D102" s="203"/>
      <c r="E102" s="203"/>
      <c r="F102" s="203"/>
      <c r="G102" s="203"/>
      <c r="H102" s="194"/>
      <c r="I102" s="236"/>
      <c r="J102" s="236"/>
      <c r="K102" s="234"/>
      <c r="L102" s="192"/>
      <c r="M102" s="235"/>
      <c r="N102" s="421"/>
      <c r="O102" s="421"/>
      <c r="P102" s="421"/>
      <c r="Q102" s="421"/>
      <c r="R102" s="421"/>
      <c r="S102" s="421"/>
      <c r="T102" s="421"/>
      <c r="U102" s="422"/>
      <c r="V102" s="430"/>
      <c r="W102" s="430"/>
      <c r="X102" s="431"/>
      <c r="Y102" s="171"/>
      <c r="Z102" s="171"/>
      <c r="AA102" s="171"/>
      <c r="AB102" s="171"/>
      <c r="AC102" s="171"/>
      <c r="AD102" s="171"/>
      <c r="AE102" s="203"/>
      <c r="AF102" s="203"/>
    </row>
    <row r="103" spans="1:32" s="207" customFormat="1" ht="12.75" customHeight="1">
      <c r="A103" s="171"/>
      <c r="B103" s="174" t="s">
        <v>273</v>
      </c>
      <c r="C103" s="418">
        <f>D85</f>
        <v>356</v>
      </c>
      <c r="D103" s="435" t="s">
        <v>157</v>
      </c>
      <c r="E103" s="203"/>
      <c r="F103" s="203"/>
      <c r="G103" s="203"/>
      <c r="H103" s="171"/>
      <c r="I103" s="171"/>
      <c r="J103" s="171"/>
      <c r="K103" s="174"/>
      <c r="L103" s="171"/>
      <c r="M103" s="171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71"/>
      <c r="Y103" s="171"/>
      <c r="Z103" s="171"/>
      <c r="AA103" s="171"/>
      <c r="AB103" s="171"/>
      <c r="AC103" s="171"/>
      <c r="AD103" s="171"/>
      <c r="AE103" s="203"/>
      <c r="AF103" s="203"/>
    </row>
    <row r="104" spans="1:48" s="207" customFormat="1" ht="12.75" customHeight="1" thickBot="1">
      <c r="A104" s="171"/>
      <c r="B104" s="171"/>
      <c r="C104" s="171"/>
      <c r="D104"/>
      <c r="E104" s="171"/>
      <c r="F104" s="171"/>
      <c r="G104" s="171"/>
      <c r="H104" s="171"/>
      <c r="I104" s="171"/>
      <c r="J104" s="171"/>
      <c r="K104" s="174"/>
      <c r="L104" s="171"/>
      <c r="M104" s="171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71"/>
      <c r="Y104" s="171"/>
      <c r="Z104" s="171"/>
      <c r="AA104" s="203"/>
      <c r="AB104" s="203"/>
      <c r="AC104" s="203"/>
      <c r="AD104" s="203"/>
      <c r="AE104" s="203"/>
      <c r="AF104" s="203"/>
      <c r="AK104" s="207" t="s">
        <v>274</v>
      </c>
      <c r="AL104"/>
      <c r="AU104" s="207" t="s">
        <v>275</v>
      </c>
      <c r="AV104" s="207" t="s">
        <v>276</v>
      </c>
    </row>
    <row r="105" spans="1:48" s="207" customFormat="1" ht="12.75" customHeight="1" thickBot="1">
      <c r="A105" s="192"/>
      <c r="B105" s="717" t="s">
        <v>101</v>
      </c>
      <c r="C105" s="1116" t="e">
        <f>INDEX(AK106:AK107,AK105,1)</f>
        <v>#DIV/0!</v>
      </c>
      <c r="D105" s="194"/>
      <c r="E105" s="194"/>
      <c r="F105" s="194"/>
      <c r="G105" s="236"/>
      <c r="H105" s="194"/>
      <c r="I105" s="236"/>
      <c r="J105" s="236"/>
      <c r="K105" s="234"/>
      <c r="L105" s="192"/>
      <c r="M105" s="235"/>
      <c r="N105" s="192"/>
      <c r="O105" s="192"/>
      <c r="P105" s="192"/>
      <c r="Q105" s="192"/>
      <c r="R105" s="192"/>
      <c r="S105" s="192"/>
      <c r="T105" s="192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K105" s="716" t="e">
        <f>IF(AND(C8&gt;=E88,C8&gt;=G93),1)+IF(AND(C8&gt;=E88,C8&lt;G93),2)+IF(AND(C8&lt;E88,C8&gt;=G93),2)+IF(AND(C8&lt;E88,C8&lt;G93),2)</f>
        <v>#DIV/0!</v>
      </c>
      <c r="AL105"/>
      <c r="AU105" s="719">
        <f>IF(C107&gt;=G107,1)+IF(C107&lt;G107,2)</f>
        <v>1</v>
      </c>
      <c r="AV105" s="719" t="e">
        <f>IF(C108&gt;=G108,1)+IF(C108&lt;G108,2)</f>
        <v>#DIV/0!</v>
      </c>
    </row>
    <row r="106" spans="1:48" s="207" customFormat="1" ht="12.75" customHeight="1">
      <c r="A106" s="192"/>
      <c r="B106" s="194"/>
      <c r="C106" s="603" t="e">
        <f>INDEX(AA107:AA108,AB106,1)</f>
        <v>#DIV/0!</v>
      </c>
      <c r="D106" s="603"/>
      <c r="E106" s="194"/>
      <c r="F106" s="194"/>
      <c r="G106" s="236"/>
      <c r="H106" s="194"/>
      <c r="I106" s="236"/>
      <c r="J106" s="236"/>
      <c r="K106" s="234"/>
      <c r="L106" s="192"/>
      <c r="M106" s="235"/>
      <c r="N106" s="192"/>
      <c r="O106" s="192"/>
      <c r="P106" s="192"/>
      <c r="Q106" s="192"/>
      <c r="R106" s="192"/>
      <c r="S106" s="192"/>
      <c r="T106" s="192"/>
      <c r="U106" s="203"/>
      <c r="V106" s="203"/>
      <c r="W106" s="203"/>
      <c r="X106" s="203"/>
      <c r="Y106" s="203"/>
      <c r="Z106" s="203"/>
      <c r="AA106" s="203" t="s">
        <v>200</v>
      </c>
      <c r="AB106" s="594" t="e">
        <f>IF(AND(E88&lt;=5,G93&lt;=5),2)+IF(E88&gt;5,1)+IF(G93&gt;5,1)</f>
        <v>#DIV/0!</v>
      </c>
      <c r="AC106" s="203"/>
      <c r="AD106" s="203"/>
      <c r="AE106" s="203"/>
      <c r="AF106" s="203"/>
      <c r="AK106" s="603" t="s">
        <v>833</v>
      </c>
      <c r="AS106"/>
      <c r="AU106" s="585" t="s">
        <v>277</v>
      </c>
      <c r="AV106" s="585" t="s">
        <v>277</v>
      </c>
    </row>
    <row r="107" spans="1:48" s="207" customFormat="1" ht="12.75" customHeight="1">
      <c r="A107" s="192"/>
      <c r="B107" s="266" t="s">
        <v>122</v>
      </c>
      <c r="C107" s="432">
        <f>C8</f>
        <v>0</v>
      </c>
      <c r="D107" s="433" t="str">
        <f>INDEX(AU106:AU107,AU105,1)</f>
        <v>&gt;</v>
      </c>
      <c r="E107" s="434" t="s">
        <v>278</v>
      </c>
      <c r="F107" s="171"/>
      <c r="G107" s="1146">
        <f>IF(E88&lt;=5,E88)+IF(E88&gt;5,5)</f>
        <v>0</v>
      </c>
      <c r="H107" s="363" t="s">
        <v>123</v>
      </c>
      <c r="I107" s="280"/>
      <c r="J107" s="280"/>
      <c r="K107" s="234"/>
      <c r="L107" s="192"/>
      <c r="M107" s="235"/>
      <c r="N107" s="192"/>
      <c r="O107" s="192"/>
      <c r="P107" s="192"/>
      <c r="Q107" s="192"/>
      <c r="R107" s="192"/>
      <c r="S107" s="192"/>
      <c r="T107" s="192"/>
      <c r="U107" s="203"/>
      <c r="V107" s="203"/>
      <c r="W107" s="203"/>
      <c r="X107" s="203"/>
      <c r="Y107" s="203"/>
      <c r="Z107" s="203"/>
      <c r="AA107" s="203" t="s">
        <v>279</v>
      </c>
      <c r="AB107" s="203"/>
      <c r="AC107" s="203"/>
      <c r="AD107" s="203"/>
      <c r="AE107" s="203"/>
      <c r="AF107" s="203"/>
      <c r="AK107" s="603" t="s">
        <v>834</v>
      </c>
      <c r="AU107" s="585" t="s">
        <v>280</v>
      </c>
      <c r="AV107" s="585" t="s">
        <v>280</v>
      </c>
    </row>
    <row r="108" spans="1:32" s="207" customFormat="1" ht="12.75" customHeight="1">
      <c r="A108" s="192"/>
      <c r="B108" s="266" t="s">
        <v>122</v>
      </c>
      <c r="C108" s="432">
        <f>C107</f>
        <v>0</v>
      </c>
      <c r="D108" s="433" t="e">
        <f>INDEX(AV106:AV107,AV105,1)</f>
        <v>#DIV/0!</v>
      </c>
      <c r="E108" s="434" t="s">
        <v>281</v>
      </c>
      <c r="F108" s="194"/>
      <c r="G108" s="1146" t="e">
        <f>IF(G93&lt;=5,G93)+IF(G93&gt;5,5)</f>
        <v>#DIV/0!</v>
      </c>
      <c r="H108" s="363" t="s">
        <v>123</v>
      </c>
      <c r="I108" s="236"/>
      <c r="J108" s="236"/>
      <c r="K108" s="234"/>
      <c r="L108" s="192"/>
      <c r="M108" s="235"/>
      <c r="N108" s="192"/>
      <c r="O108" s="192"/>
      <c r="P108" s="192"/>
      <c r="Q108" s="192"/>
      <c r="R108" s="192"/>
      <c r="S108" s="192"/>
      <c r="T108" s="192"/>
      <c r="U108" s="203"/>
      <c r="V108" s="203"/>
      <c r="W108" s="203"/>
      <c r="X108" s="203"/>
      <c r="Y108" s="203"/>
      <c r="Z108" s="203"/>
      <c r="AA108" s="203" t="s">
        <v>109</v>
      </c>
      <c r="AB108" s="203"/>
      <c r="AC108" s="203"/>
      <c r="AD108" s="203"/>
      <c r="AE108" s="203"/>
      <c r="AF108" s="203"/>
    </row>
    <row r="109" spans="1:32" s="207" customFormat="1" ht="12.75" customHeight="1">
      <c r="A109" s="192"/>
      <c r="B109" s="194"/>
      <c r="C109" s="194"/>
      <c r="D109" s="194"/>
      <c r="E109" s="194"/>
      <c r="F109" s="194"/>
      <c r="G109" s="236"/>
      <c r="H109" s="194"/>
      <c r="I109" s="236"/>
      <c r="J109" s="1075"/>
      <c r="K109" s="163"/>
      <c r="L109" s="421"/>
      <c r="M109" s="1076"/>
      <c r="N109" s="421"/>
      <c r="O109" s="421"/>
      <c r="P109" s="421"/>
      <c r="Q109" s="192"/>
      <c r="R109" s="192"/>
      <c r="S109" s="192"/>
      <c r="T109" s="19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</row>
    <row r="110" spans="1:32" s="207" customFormat="1" ht="12.75" customHeight="1">
      <c r="A110" s="192"/>
      <c r="B110" s="194"/>
      <c r="C110" s="194"/>
      <c r="D110" s="194"/>
      <c r="E110" s="176"/>
      <c r="F110" s="176"/>
      <c r="G110" s="447"/>
      <c r="H110" s="448"/>
      <c r="I110" s="446"/>
      <c r="J110" s="446"/>
      <c r="K110" s="168"/>
      <c r="L110" s="164"/>
      <c r="M110" s="1077"/>
      <c r="N110" s="164"/>
      <c r="O110" s="164"/>
      <c r="P110" s="421"/>
      <c r="Q110" s="192"/>
      <c r="R110" s="192"/>
      <c r="S110" s="192"/>
      <c r="T110" s="192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</row>
    <row r="111" spans="1:32" s="207" customFormat="1" ht="12.75" customHeight="1">
      <c r="A111" s="192"/>
      <c r="B111" s="194"/>
      <c r="C111" s="194"/>
      <c r="D111" s="194"/>
      <c r="E111" s="176"/>
      <c r="F111" s="176"/>
      <c r="G111" s="447"/>
      <c r="H111" s="448"/>
      <c r="I111" s="446"/>
      <c r="J111" s="446"/>
      <c r="K111" s="167"/>
      <c r="L111" s="498"/>
      <c r="M111" s="1077"/>
      <c r="N111" s="164"/>
      <c r="O111" s="164"/>
      <c r="P111" s="421"/>
      <c r="Q111" s="192"/>
      <c r="R111" s="192"/>
      <c r="S111" s="192"/>
      <c r="T111" s="192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</row>
    <row r="112" spans="1:32" s="207" customFormat="1" ht="12.75" customHeight="1">
      <c r="A112" s="192"/>
      <c r="B112" s="194"/>
      <c r="C112" s="194"/>
      <c r="D112" s="194"/>
      <c r="E112" s="176"/>
      <c r="F112" s="176"/>
      <c r="G112" s="447"/>
      <c r="H112" s="448"/>
      <c r="I112" s="446"/>
      <c r="J112" s="446"/>
      <c r="K112" s="167"/>
      <c r="L112" s="164"/>
      <c r="M112" s="1077"/>
      <c r="N112" s="164"/>
      <c r="O112" s="164"/>
      <c r="P112" s="421"/>
      <c r="Q112" s="192"/>
      <c r="R112" s="192"/>
      <c r="S112" s="192"/>
      <c r="T112" s="192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</row>
    <row r="113" spans="1:32" s="9" customFormat="1" ht="12.75" customHeight="1">
      <c r="A113" s="17"/>
      <c r="B113" s="45"/>
      <c r="C113" s="45"/>
      <c r="D113" s="45"/>
      <c r="E113" s="449"/>
      <c r="F113" s="449"/>
      <c r="G113" s="450"/>
      <c r="H113" s="451"/>
      <c r="I113" s="452"/>
      <c r="J113" s="452"/>
      <c r="K113" s="453"/>
      <c r="L113" s="454"/>
      <c r="M113" s="1078"/>
      <c r="N113" s="454"/>
      <c r="O113" s="454"/>
      <c r="P113" s="1079"/>
      <c r="Q113" s="17"/>
      <c r="R113" s="17"/>
      <c r="S113" s="17"/>
      <c r="T113" s="17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s="9" customFormat="1" ht="12.75" customHeight="1">
      <c r="A114" s="17"/>
      <c r="B114" s="45"/>
      <c r="C114" s="45"/>
      <c r="D114" s="45"/>
      <c r="E114" s="449"/>
      <c r="F114" s="449"/>
      <c r="G114" s="450"/>
      <c r="H114" s="449"/>
      <c r="I114" s="450"/>
      <c r="J114" s="452"/>
      <c r="K114" s="453"/>
      <c r="L114" s="454"/>
      <c r="M114" s="1078"/>
      <c r="N114" s="454"/>
      <c r="O114" s="454"/>
      <c r="P114" s="1079"/>
      <c r="Q114" s="17"/>
      <c r="R114" s="17"/>
      <c r="S114" s="17"/>
      <c r="T114" s="17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s="9" customFormat="1" ht="12.75" customHeight="1">
      <c r="A115" s="17"/>
      <c r="B115" s="45"/>
      <c r="C115" s="45"/>
      <c r="D115" s="45"/>
      <c r="E115" s="45"/>
      <c r="F115" s="45"/>
      <c r="G115" s="49"/>
      <c r="H115" s="45"/>
      <c r="I115" s="49"/>
      <c r="J115" s="49"/>
      <c r="K115" s="51"/>
      <c r="L115" s="43"/>
      <c r="M115" s="48"/>
      <c r="N115" s="43"/>
      <c r="O115" s="43"/>
      <c r="P115" s="17"/>
      <c r="Q115" s="17"/>
      <c r="R115" s="17"/>
      <c r="S115" s="17"/>
      <c r="T115" s="17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s="9" customFormat="1" ht="12.75" customHeight="1">
      <c r="A116" s="17"/>
      <c r="B116" s="45"/>
      <c r="C116" s="45"/>
      <c r="D116" s="45"/>
      <c r="E116" s="45"/>
      <c r="F116" s="45"/>
      <c r="G116" s="49"/>
      <c r="H116" s="45"/>
      <c r="I116" s="49"/>
      <c r="J116" s="49"/>
      <c r="K116" s="51"/>
      <c r="L116" s="43"/>
      <c r="M116" s="48"/>
      <c r="N116" s="43"/>
      <c r="O116" s="43"/>
      <c r="P116" s="17"/>
      <c r="Q116" s="17"/>
      <c r="R116" s="17"/>
      <c r="S116" s="17"/>
      <c r="T116" s="17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9" customFormat="1" ht="12.75" customHeight="1">
      <c r="A117" s="17"/>
      <c r="B117" s="45"/>
      <c r="C117" s="45"/>
      <c r="D117" s="45"/>
      <c r="E117" s="45"/>
      <c r="F117" s="45"/>
      <c r="G117" s="49"/>
      <c r="H117" s="45"/>
      <c r="I117" s="49"/>
      <c r="J117" s="49"/>
      <c r="K117" s="51"/>
      <c r="L117" s="43"/>
      <c r="M117" s="48"/>
      <c r="N117" s="43"/>
      <c r="O117" s="43"/>
      <c r="P117" s="17"/>
      <c r="Q117" s="17"/>
      <c r="R117" s="17"/>
      <c r="S117" s="17"/>
      <c r="T117" s="17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s="9" customFormat="1" ht="12.75" customHeight="1">
      <c r="A118" s="23"/>
      <c r="B118" s="25"/>
      <c r="C118" s="25"/>
      <c r="D118" s="25"/>
      <c r="E118" s="25"/>
      <c r="F118" s="25"/>
      <c r="G118" s="36"/>
      <c r="H118" s="25"/>
      <c r="I118" s="36"/>
      <c r="J118" s="36"/>
      <c r="K118" s="35"/>
      <c r="L118" s="23"/>
      <c r="M118" s="37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s="9" customFormat="1" ht="12.75" customHeight="1">
      <c r="A119" s="23"/>
      <c r="B119" s="25"/>
      <c r="C119" s="25"/>
      <c r="D119" s="25"/>
      <c r="E119" s="25"/>
      <c r="F119" s="25"/>
      <c r="G119" s="36"/>
      <c r="H119" s="25"/>
      <c r="I119" s="36"/>
      <c r="J119" s="36"/>
      <c r="K119" s="35"/>
      <c r="L119" s="23"/>
      <c r="M119" s="37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s="9" customFormat="1" ht="12.75" customHeight="1">
      <c r="A120" s="23"/>
      <c r="B120" s="25"/>
      <c r="C120" s="25"/>
      <c r="D120" s="25"/>
      <c r="E120" s="25"/>
      <c r="F120" s="25"/>
      <c r="G120" s="36"/>
      <c r="H120" s="25"/>
      <c r="I120" s="36"/>
      <c r="J120" s="36"/>
      <c r="K120" s="35"/>
      <c r="L120" s="23"/>
      <c r="M120" s="37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s="9" customFormat="1" ht="12.75" customHeight="1">
      <c r="A121" s="23"/>
      <c r="B121" s="25"/>
      <c r="C121" s="25"/>
      <c r="D121" s="25"/>
      <c r="E121" s="25"/>
      <c r="F121" s="25"/>
      <c r="G121" s="36"/>
      <c r="H121" s="25"/>
      <c r="I121" s="36"/>
      <c r="J121" s="36"/>
      <c r="K121" s="35"/>
      <c r="L121" s="23"/>
      <c r="M121" s="37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s="9" customFormat="1" ht="12.75" customHeight="1">
      <c r="A122" s="23"/>
      <c r="B122" s="25"/>
      <c r="C122" s="25"/>
      <c r="D122" s="25"/>
      <c r="E122" s="25"/>
      <c r="F122" s="25"/>
      <c r="G122" s="36"/>
      <c r="H122" s="25"/>
      <c r="I122" s="36"/>
      <c r="J122" s="36"/>
      <c r="K122" s="35"/>
      <c r="L122" s="23"/>
      <c r="M122" s="37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s="9" customFormat="1" ht="12.75" customHeight="1">
      <c r="A123" s="23"/>
      <c r="B123" s="25"/>
      <c r="C123" s="25"/>
      <c r="D123" s="25"/>
      <c r="E123" s="25"/>
      <c r="F123" s="25"/>
      <c r="G123" s="36"/>
      <c r="H123" s="25"/>
      <c r="I123" s="36"/>
      <c r="J123" s="36"/>
      <c r="K123" s="35"/>
      <c r="L123" s="23"/>
      <c r="M123" s="37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s="9" customFormat="1" ht="12.75" customHeight="1">
      <c r="A124" s="23"/>
      <c r="B124" s="25"/>
      <c r="C124" s="25"/>
      <c r="D124" s="25"/>
      <c r="E124" s="25"/>
      <c r="F124" s="25"/>
      <c r="G124" s="36"/>
      <c r="H124" s="25"/>
      <c r="I124" s="36"/>
      <c r="J124" s="36"/>
      <c r="K124" s="35"/>
      <c r="L124" s="23"/>
      <c r="M124" s="37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s="9" customFormat="1" ht="12.75" customHeight="1">
      <c r="A125" s="23"/>
      <c r="B125" s="25"/>
      <c r="C125" s="25"/>
      <c r="D125" s="25"/>
      <c r="E125" s="25"/>
      <c r="F125" s="25"/>
      <c r="G125" s="36"/>
      <c r="H125" s="25"/>
      <c r="I125" s="36"/>
      <c r="J125" s="36"/>
      <c r="K125" s="35"/>
      <c r="L125" s="23"/>
      <c r="M125" s="37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s="9" customFormat="1" ht="12.75" customHeight="1">
      <c r="A126" s="23"/>
      <c r="B126" s="25"/>
      <c r="C126" s="25"/>
      <c r="D126" s="25"/>
      <c r="E126" s="25"/>
      <c r="F126" s="25"/>
      <c r="G126" s="36"/>
      <c r="H126" s="25"/>
      <c r="I126" s="36"/>
      <c r="J126" s="36"/>
      <c r="K126" s="35"/>
      <c r="L126" s="23"/>
      <c r="M126" s="37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s="9" customFormat="1" ht="12.75" customHeight="1">
      <c r="A127" s="23"/>
      <c r="B127" s="25"/>
      <c r="C127" s="25"/>
      <c r="D127" s="25"/>
      <c r="E127" s="25"/>
      <c r="F127" s="25"/>
      <c r="G127" s="36"/>
      <c r="H127" s="25"/>
      <c r="I127" s="36"/>
      <c r="J127" s="36"/>
      <c r="K127" s="35"/>
      <c r="L127" s="23"/>
      <c r="M127" s="37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s="9" customFormat="1" ht="12.75" customHeight="1">
      <c r="A128" s="23"/>
      <c r="B128" s="25"/>
      <c r="C128" s="25"/>
      <c r="D128" s="25"/>
      <c r="E128" s="25"/>
      <c r="F128" s="25"/>
      <c r="G128" s="36"/>
      <c r="H128" s="25"/>
      <c r="I128" s="36"/>
      <c r="J128" s="36"/>
      <c r="K128" s="35"/>
      <c r="L128" s="23"/>
      <c r="M128" s="37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9" customFormat="1" ht="12.75" customHeight="1">
      <c r="A129" s="23"/>
      <c r="B129" s="25"/>
      <c r="C129" s="25"/>
      <c r="D129" s="25"/>
      <c r="E129" s="25"/>
      <c r="F129" s="25"/>
      <c r="G129" s="36"/>
      <c r="H129" s="25"/>
      <c r="I129" s="36"/>
      <c r="J129" s="36"/>
      <c r="K129" s="35"/>
      <c r="L129" s="23"/>
      <c r="M129" s="37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s="9" customFormat="1" ht="12.75" customHeight="1">
      <c r="A130" s="23"/>
      <c r="B130" s="25"/>
      <c r="C130" s="25"/>
      <c r="D130" s="25"/>
      <c r="E130" s="25"/>
      <c r="F130" s="25"/>
      <c r="G130" s="36"/>
      <c r="H130" s="25"/>
      <c r="I130" s="36"/>
      <c r="J130" s="36"/>
      <c r="K130" s="35"/>
      <c r="L130" s="23"/>
      <c r="M130" s="37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s="9" customFormat="1" ht="12.75" customHeight="1">
      <c r="A131" s="23"/>
      <c r="B131" s="25"/>
      <c r="C131" s="25"/>
      <c r="D131" s="25"/>
      <c r="E131" s="25"/>
      <c r="F131" s="25"/>
      <c r="G131" s="36"/>
      <c r="H131" s="25"/>
      <c r="I131" s="36"/>
      <c r="J131" s="36"/>
      <c r="K131" s="35"/>
      <c r="L131" s="23"/>
      <c r="M131" s="37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s="9" customFormat="1" ht="12.75" customHeight="1">
      <c r="A132" s="23"/>
      <c r="B132" s="25"/>
      <c r="C132" s="25"/>
      <c r="D132" s="25"/>
      <c r="E132" s="25"/>
      <c r="F132" s="25"/>
      <c r="G132" s="36"/>
      <c r="H132" s="25"/>
      <c r="I132" s="36"/>
      <c r="J132" s="36"/>
      <c r="K132" s="35"/>
      <c r="L132" s="23"/>
      <c r="M132" s="37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s="9" customFormat="1" ht="12.75" customHeight="1">
      <c r="A133" s="23"/>
      <c r="B133" s="25"/>
      <c r="C133" s="25"/>
      <c r="D133" s="25"/>
      <c r="E133" s="25"/>
      <c r="F133" s="25"/>
      <c r="G133" s="36"/>
      <c r="H133" s="25"/>
      <c r="I133" s="36"/>
      <c r="J133" s="36"/>
      <c r="K133" s="35"/>
      <c r="L133" s="23"/>
      <c r="M133" s="37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s="9" customFormat="1" ht="12.75" customHeight="1">
      <c r="A134" s="23"/>
      <c r="B134" s="25"/>
      <c r="C134" s="25"/>
      <c r="D134" s="25"/>
      <c r="E134" s="25"/>
      <c r="F134" s="25"/>
      <c r="G134" s="36"/>
      <c r="H134" s="25"/>
      <c r="I134" s="36"/>
      <c r="J134" s="36"/>
      <c r="K134" s="35"/>
      <c r="L134" s="23"/>
      <c r="M134" s="37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s="9" customFormat="1" ht="12.75" customHeight="1">
      <c r="A135" s="23"/>
      <c r="B135" s="25"/>
      <c r="C135" s="25"/>
      <c r="D135" s="25"/>
      <c r="E135" s="25"/>
      <c r="F135" s="25"/>
      <c r="G135" s="36"/>
      <c r="H135" s="25"/>
      <c r="I135" s="36"/>
      <c r="J135" s="36"/>
      <c r="K135" s="35"/>
      <c r="L135" s="23"/>
      <c r="M135" s="37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s="9" customFormat="1" ht="12.75" customHeight="1">
      <c r="A136" s="23"/>
      <c r="B136" s="25"/>
      <c r="C136" s="25"/>
      <c r="D136" s="25"/>
      <c r="E136" s="25"/>
      <c r="F136" s="25"/>
      <c r="G136" s="36"/>
      <c r="H136" s="25"/>
      <c r="I136" s="36"/>
      <c r="J136" s="36"/>
      <c r="K136" s="35"/>
      <c r="L136" s="23"/>
      <c r="M136" s="37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s="9" customFormat="1" ht="12.75" customHeight="1">
      <c r="A137" s="23"/>
      <c r="B137" s="25"/>
      <c r="C137" s="25"/>
      <c r="D137" s="25"/>
      <c r="E137" s="25"/>
      <c r="F137" s="25"/>
      <c r="G137" s="36"/>
      <c r="H137" s="25"/>
      <c r="I137" s="36"/>
      <c r="J137" s="36"/>
      <c r="K137" s="35"/>
      <c r="L137" s="23"/>
      <c r="M137" s="37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s="9" customFormat="1" ht="12.75" customHeight="1">
      <c r="A138" s="23"/>
      <c r="B138" s="25"/>
      <c r="C138" s="25"/>
      <c r="D138" s="25"/>
      <c r="E138" s="25"/>
      <c r="F138" s="25"/>
      <c r="G138" s="36"/>
      <c r="H138" s="25"/>
      <c r="I138" s="36"/>
      <c r="J138" s="36"/>
      <c r="K138" s="35"/>
      <c r="L138" s="23"/>
      <c r="M138" s="37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s="9" customFormat="1" ht="12.75" customHeight="1">
      <c r="A139" s="23"/>
      <c r="B139" s="25"/>
      <c r="C139" s="25"/>
      <c r="D139" s="25"/>
      <c r="E139" s="25"/>
      <c r="F139" s="25"/>
      <c r="G139" s="36"/>
      <c r="H139" s="25"/>
      <c r="I139" s="36"/>
      <c r="J139" s="36"/>
      <c r="K139" s="35"/>
      <c r="L139" s="23"/>
      <c r="M139" s="37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s="9" customFormat="1" ht="12.75" customHeight="1">
      <c r="A140" s="23"/>
      <c r="B140" s="25"/>
      <c r="C140" s="25"/>
      <c r="D140" s="25"/>
      <c r="E140" s="25"/>
      <c r="F140" s="25"/>
      <c r="G140" s="36"/>
      <c r="H140" s="25"/>
      <c r="I140" s="36"/>
      <c r="J140" s="36"/>
      <c r="K140" s="35"/>
      <c r="L140" s="23"/>
      <c r="M140" s="37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s="9" customFormat="1" ht="12.75" customHeight="1">
      <c r="A141" s="23"/>
      <c r="B141" s="25"/>
      <c r="C141" s="25"/>
      <c r="D141" s="25"/>
      <c r="E141" s="25"/>
      <c r="F141" s="25"/>
      <c r="G141" s="36"/>
      <c r="H141" s="25"/>
      <c r="I141" s="36"/>
      <c r="J141" s="36"/>
      <c r="K141" s="35"/>
      <c r="L141" s="23"/>
      <c r="M141" s="37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s="9" customFormat="1" ht="12.75" customHeight="1">
      <c r="A142" s="23"/>
      <c r="B142" s="25"/>
      <c r="C142" s="25"/>
      <c r="D142" s="25"/>
      <c r="E142" s="25"/>
      <c r="F142" s="25"/>
      <c r="G142" s="36"/>
      <c r="H142" s="25"/>
      <c r="I142" s="36"/>
      <c r="J142" s="36"/>
      <c r="K142" s="35"/>
      <c r="L142" s="23"/>
      <c r="M142" s="37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9" customFormat="1" ht="12.75" customHeight="1">
      <c r="A143" s="23"/>
      <c r="B143" s="25"/>
      <c r="C143" s="25"/>
      <c r="D143" s="25"/>
      <c r="E143" s="25"/>
      <c r="F143" s="25"/>
      <c r="G143" s="36"/>
      <c r="H143" s="25"/>
      <c r="I143" s="36"/>
      <c r="J143" s="36"/>
      <c r="K143" s="35"/>
      <c r="L143" s="23"/>
      <c r="M143" s="37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s="9" customFormat="1" ht="12.75" customHeight="1">
      <c r="A144" s="23"/>
      <c r="B144" s="25"/>
      <c r="C144" s="25"/>
      <c r="D144" s="25"/>
      <c r="E144" s="25"/>
      <c r="F144" s="25"/>
      <c r="G144" s="36"/>
      <c r="H144" s="25"/>
      <c r="I144" s="36"/>
      <c r="J144" s="36"/>
      <c r="K144" s="35"/>
      <c r="L144" s="23"/>
      <c r="M144" s="37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s="9" customFormat="1" ht="12.75" customHeight="1">
      <c r="A145" s="23"/>
      <c r="B145" s="25"/>
      <c r="C145" s="25"/>
      <c r="D145" s="25"/>
      <c r="E145" s="25"/>
      <c r="F145" s="25"/>
      <c r="G145" s="36"/>
      <c r="H145" s="25"/>
      <c r="I145" s="36"/>
      <c r="J145" s="36"/>
      <c r="K145" s="35"/>
      <c r="L145" s="23"/>
      <c r="M145" s="37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s="9" customFormat="1" ht="12.75" customHeight="1">
      <c r="A146" s="23"/>
      <c r="B146" s="25"/>
      <c r="C146" s="25"/>
      <c r="D146" s="25"/>
      <c r="E146" s="25"/>
      <c r="F146" s="25"/>
      <c r="G146" s="36"/>
      <c r="H146" s="25"/>
      <c r="I146" s="36"/>
      <c r="J146" s="36"/>
      <c r="K146" s="35"/>
      <c r="L146" s="23"/>
      <c r="M146" s="37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s="9" customFormat="1" ht="12.75" customHeight="1">
      <c r="A147" s="23"/>
      <c r="B147" s="25"/>
      <c r="C147" s="25"/>
      <c r="D147" s="25"/>
      <c r="E147" s="25"/>
      <c r="F147" s="25"/>
      <c r="G147" s="36"/>
      <c r="H147" s="25"/>
      <c r="I147" s="36"/>
      <c r="J147" s="36"/>
      <c r="K147" s="35"/>
      <c r="L147" s="23"/>
      <c r="M147" s="37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s="9" customFormat="1" ht="12.75" customHeight="1">
      <c r="A148" s="23"/>
      <c r="B148" s="25"/>
      <c r="C148" s="25"/>
      <c r="D148" s="25"/>
      <c r="E148" s="25"/>
      <c r="F148" s="25"/>
      <c r="G148" s="36"/>
      <c r="H148" s="25"/>
      <c r="I148" s="36"/>
      <c r="J148" s="36"/>
      <c r="K148" s="35"/>
      <c r="L148" s="23"/>
      <c r="M148" s="37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s="9" customFormat="1" ht="12.75" customHeight="1">
      <c r="A149" s="23"/>
      <c r="B149" s="25"/>
      <c r="C149" s="25"/>
      <c r="D149" s="25"/>
      <c r="E149" s="25"/>
      <c r="F149" s="25"/>
      <c r="G149" s="36"/>
      <c r="H149" s="25"/>
      <c r="I149" s="36"/>
      <c r="J149" s="36"/>
      <c r="K149" s="35"/>
      <c r="L149" s="23"/>
      <c r="M149" s="37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s="9" customFormat="1" ht="12.75" customHeight="1">
      <c r="A150" s="23"/>
      <c r="B150" s="25"/>
      <c r="C150" s="25"/>
      <c r="D150" s="25"/>
      <c r="E150" s="25"/>
      <c r="F150" s="25"/>
      <c r="G150" s="36"/>
      <c r="H150" s="25"/>
      <c r="I150" s="36"/>
      <c r="J150" s="36"/>
      <c r="K150" s="35"/>
      <c r="L150" s="23"/>
      <c r="M150" s="37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s="9" customFormat="1" ht="12.75" customHeight="1">
      <c r="A151" s="23"/>
      <c r="B151" s="25"/>
      <c r="C151" s="25"/>
      <c r="D151" s="25"/>
      <c r="E151" s="25"/>
      <c r="F151" s="25"/>
      <c r="G151" s="36"/>
      <c r="H151" s="25"/>
      <c r="I151" s="36"/>
      <c r="J151" s="36"/>
      <c r="K151" s="35"/>
      <c r="L151" s="23"/>
      <c r="M151" s="37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:13" s="9" customFormat="1" ht="12.75" customHeight="1">
      <c r="B152" s="12"/>
      <c r="C152" s="12"/>
      <c r="D152" s="12"/>
      <c r="E152" s="12"/>
      <c r="F152" s="12"/>
      <c r="G152" s="13"/>
      <c r="H152" s="12"/>
      <c r="I152" s="13"/>
      <c r="J152" s="13"/>
      <c r="K152" s="86"/>
      <c r="M152" s="11"/>
    </row>
    <row r="153" spans="2:13" s="9" customFormat="1" ht="12.75" customHeight="1">
      <c r="B153" s="12"/>
      <c r="C153" s="12"/>
      <c r="D153" s="12"/>
      <c r="E153" s="12"/>
      <c r="F153" s="12"/>
      <c r="G153" s="13"/>
      <c r="H153" s="12"/>
      <c r="I153" s="13"/>
      <c r="J153" s="13"/>
      <c r="K153" s="86"/>
      <c r="M153" s="11"/>
    </row>
    <row r="154" spans="2:13" s="9" customFormat="1" ht="12.75" customHeight="1">
      <c r="B154" s="12"/>
      <c r="C154" s="12"/>
      <c r="D154" s="12"/>
      <c r="E154" s="12"/>
      <c r="F154" s="12"/>
      <c r="G154" s="13"/>
      <c r="H154" s="12"/>
      <c r="I154" s="13"/>
      <c r="J154" s="13"/>
      <c r="K154" s="86"/>
      <c r="M154" s="11"/>
    </row>
    <row r="155" spans="2:13" s="9" customFormat="1" ht="12.75" customHeight="1">
      <c r="B155" s="12"/>
      <c r="C155" s="12"/>
      <c r="D155" s="12"/>
      <c r="E155" s="12"/>
      <c r="F155" s="12"/>
      <c r="G155" s="13"/>
      <c r="H155" s="12"/>
      <c r="I155" s="13"/>
      <c r="J155" s="13"/>
      <c r="K155" s="86"/>
      <c r="M155" s="11"/>
    </row>
    <row r="156" spans="2:13" s="9" customFormat="1" ht="12.75" customHeight="1">
      <c r="B156" s="12"/>
      <c r="C156" s="12"/>
      <c r="D156" s="12"/>
      <c r="E156" s="12"/>
      <c r="F156" s="12"/>
      <c r="G156" s="13"/>
      <c r="H156" s="12"/>
      <c r="I156" s="13"/>
      <c r="J156" s="13"/>
      <c r="K156" s="86"/>
      <c r="M156" s="11"/>
    </row>
    <row r="157" spans="2:13" s="9" customFormat="1" ht="12.75" customHeight="1">
      <c r="B157" s="12"/>
      <c r="C157" s="12"/>
      <c r="D157" s="12"/>
      <c r="E157" s="12"/>
      <c r="F157" s="12"/>
      <c r="G157" s="13"/>
      <c r="H157" s="12"/>
      <c r="I157" s="13"/>
      <c r="J157" s="13"/>
      <c r="K157" s="86"/>
      <c r="M157" s="11"/>
    </row>
    <row r="158" spans="2:13" s="9" customFormat="1" ht="12.75" customHeight="1">
      <c r="B158" s="12"/>
      <c r="C158" s="12"/>
      <c r="D158" s="12"/>
      <c r="E158" s="12"/>
      <c r="F158" s="12"/>
      <c r="G158" s="13"/>
      <c r="H158" s="12"/>
      <c r="I158" s="13"/>
      <c r="J158" s="13"/>
      <c r="K158" s="86"/>
      <c r="M158" s="11"/>
    </row>
    <row r="159" spans="2:13" s="9" customFormat="1" ht="12.75" customHeight="1">
      <c r="B159" s="12"/>
      <c r="C159" s="12"/>
      <c r="D159" s="12"/>
      <c r="E159" s="12"/>
      <c r="F159" s="12"/>
      <c r="G159" s="13"/>
      <c r="H159" s="12"/>
      <c r="I159" s="13"/>
      <c r="J159" s="13"/>
      <c r="K159" s="86"/>
      <c r="M159" s="11"/>
    </row>
    <row r="160" spans="2:13" s="9" customFormat="1" ht="12.75" customHeight="1">
      <c r="B160" s="12"/>
      <c r="C160" s="12"/>
      <c r="D160" s="12"/>
      <c r="E160" s="12"/>
      <c r="F160" s="12"/>
      <c r="G160" s="13"/>
      <c r="H160" s="12"/>
      <c r="I160" s="13"/>
      <c r="J160" s="13"/>
      <c r="K160" s="86"/>
      <c r="M160" s="11"/>
    </row>
    <row r="161" spans="2:13" s="9" customFormat="1" ht="12.75" customHeight="1">
      <c r="B161" s="12"/>
      <c r="C161" s="12"/>
      <c r="D161" s="12"/>
      <c r="E161" s="12"/>
      <c r="F161" s="12"/>
      <c r="G161" s="13"/>
      <c r="H161" s="12"/>
      <c r="I161" s="13"/>
      <c r="J161" s="13"/>
      <c r="K161" s="86"/>
      <c r="M161" s="11"/>
    </row>
    <row r="162" spans="2:13" s="9" customFormat="1" ht="12.75" customHeight="1">
      <c r="B162" s="12"/>
      <c r="C162" s="12"/>
      <c r="D162" s="12"/>
      <c r="E162" s="12"/>
      <c r="F162" s="12"/>
      <c r="G162" s="13"/>
      <c r="H162" s="12"/>
      <c r="I162" s="13"/>
      <c r="J162" s="13"/>
      <c r="K162" s="86"/>
      <c r="M162" s="11"/>
    </row>
    <row r="163" spans="2:13" s="9" customFormat="1" ht="12.75" customHeight="1">
      <c r="B163" s="12"/>
      <c r="C163" s="12"/>
      <c r="D163" s="12"/>
      <c r="E163" s="12"/>
      <c r="F163" s="12"/>
      <c r="G163" s="13"/>
      <c r="H163" s="12"/>
      <c r="I163" s="13"/>
      <c r="J163" s="13"/>
      <c r="K163" s="86"/>
      <c r="M163" s="11"/>
    </row>
    <row r="164" spans="2:13" s="9" customFormat="1" ht="12.75" customHeight="1">
      <c r="B164" s="12"/>
      <c r="C164" s="12"/>
      <c r="D164" s="12"/>
      <c r="E164" s="12"/>
      <c r="F164" s="12"/>
      <c r="G164" s="13"/>
      <c r="H164" s="12"/>
      <c r="I164" s="13"/>
      <c r="J164" s="13"/>
      <c r="K164" s="86"/>
      <c r="M164" s="11"/>
    </row>
    <row r="165" spans="2:13" s="9" customFormat="1" ht="12.75" customHeight="1">
      <c r="B165" s="12"/>
      <c r="C165" s="12"/>
      <c r="D165" s="12"/>
      <c r="E165" s="12"/>
      <c r="F165" s="12"/>
      <c r="G165" s="13"/>
      <c r="H165" s="12"/>
      <c r="I165" s="13"/>
      <c r="J165" s="13"/>
      <c r="K165" s="86"/>
      <c r="M165" s="11"/>
    </row>
    <row r="166" spans="2:13" s="9" customFormat="1" ht="12.75" customHeight="1">
      <c r="B166" s="12"/>
      <c r="C166" s="12"/>
      <c r="D166" s="12"/>
      <c r="E166" s="12"/>
      <c r="F166" s="12"/>
      <c r="G166" s="13"/>
      <c r="H166" s="12"/>
      <c r="I166" s="13"/>
      <c r="J166" s="13"/>
      <c r="K166" s="86"/>
      <c r="M166" s="11"/>
    </row>
    <row r="167" spans="2:13" s="9" customFormat="1" ht="12.75" customHeight="1">
      <c r="B167" s="12"/>
      <c r="C167" s="12"/>
      <c r="D167" s="12"/>
      <c r="E167" s="12"/>
      <c r="F167" s="12"/>
      <c r="G167" s="13"/>
      <c r="H167" s="12"/>
      <c r="I167" s="13"/>
      <c r="J167" s="13"/>
      <c r="K167" s="86"/>
      <c r="M167" s="11"/>
    </row>
    <row r="168" spans="2:13" s="9" customFormat="1" ht="12.75" customHeight="1">
      <c r="B168" s="12"/>
      <c r="C168" s="12"/>
      <c r="D168" s="12"/>
      <c r="E168" s="12"/>
      <c r="F168" s="12"/>
      <c r="G168" s="13"/>
      <c r="H168" s="12"/>
      <c r="I168" s="13"/>
      <c r="J168" s="13"/>
      <c r="K168" s="86"/>
      <c r="M168" s="11"/>
    </row>
    <row r="169" spans="2:13" s="9" customFormat="1" ht="12.75" customHeight="1">
      <c r="B169" s="12"/>
      <c r="C169" s="12"/>
      <c r="D169" s="12"/>
      <c r="E169" s="12"/>
      <c r="F169" s="12"/>
      <c r="G169" s="13"/>
      <c r="H169" s="12"/>
      <c r="I169" s="13"/>
      <c r="J169" s="13"/>
      <c r="K169" s="86"/>
      <c r="M169" s="11"/>
    </row>
    <row r="170" spans="2:13" s="9" customFormat="1" ht="12.75" customHeight="1">
      <c r="B170" s="12"/>
      <c r="C170" s="12"/>
      <c r="D170" s="12"/>
      <c r="E170" s="12"/>
      <c r="F170" s="12"/>
      <c r="G170" s="13"/>
      <c r="H170" s="12"/>
      <c r="I170" s="13"/>
      <c r="J170" s="13"/>
      <c r="K170" s="86"/>
      <c r="M170" s="11"/>
    </row>
    <row r="171" spans="2:13" s="9" customFormat="1" ht="12.75" customHeight="1">
      <c r="B171" s="12"/>
      <c r="C171" s="12"/>
      <c r="D171" s="12"/>
      <c r="E171" s="12"/>
      <c r="F171" s="12"/>
      <c r="G171" s="13"/>
      <c r="H171" s="12"/>
      <c r="I171" s="13"/>
      <c r="J171" s="13"/>
      <c r="K171" s="86"/>
      <c r="M171" s="11"/>
    </row>
    <row r="172" spans="2:13" s="9" customFormat="1" ht="12.75" customHeight="1">
      <c r="B172" s="12"/>
      <c r="C172" s="12"/>
      <c r="D172" s="12"/>
      <c r="E172" s="12"/>
      <c r="F172" s="12"/>
      <c r="G172" s="13"/>
      <c r="H172" s="12"/>
      <c r="I172" s="13"/>
      <c r="J172" s="13"/>
      <c r="K172" s="86"/>
      <c r="M172" s="11"/>
    </row>
    <row r="173" spans="2:13" s="9" customFormat="1" ht="12.75" customHeight="1">
      <c r="B173" s="12"/>
      <c r="C173" s="12"/>
      <c r="D173" s="12"/>
      <c r="E173" s="12"/>
      <c r="F173" s="12"/>
      <c r="G173" s="13"/>
      <c r="H173" s="12"/>
      <c r="I173" s="13"/>
      <c r="J173" s="13"/>
      <c r="K173" s="86"/>
      <c r="M173" s="11"/>
    </row>
    <row r="174" spans="2:13" s="9" customFormat="1" ht="12.75" customHeight="1">
      <c r="B174" s="12"/>
      <c r="C174" s="12"/>
      <c r="D174" s="12"/>
      <c r="E174" s="12"/>
      <c r="F174" s="12"/>
      <c r="G174" s="13"/>
      <c r="H174" s="12"/>
      <c r="I174" s="13"/>
      <c r="J174" s="13"/>
      <c r="K174" s="86"/>
      <c r="M174" s="11"/>
    </row>
    <row r="175" spans="2:13" s="9" customFormat="1" ht="12.75" customHeight="1">
      <c r="B175" s="12"/>
      <c r="C175" s="12"/>
      <c r="D175" s="12"/>
      <c r="E175" s="12"/>
      <c r="F175" s="12"/>
      <c r="G175" s="13"/>
      <c r="H175" s="12"/>
      <c r="I175" s="13"/>
      <c r="J175" s="13"/>
      <c r="K175" s="86"/>
      <c r="M175" s="11"/>
    </row>
    <row r="176" spans="2:13" s="9" customFormat="1" ht="12.75" customHeight="1">
      <c r="B176" s="12"/>
      <c r="C176" s="12"/>
      <c r="D176" s="12"/>
      <c r="E176" s="12"/>
      <c r="F176" s="12"/>
      <c r="G176" s="13"/>
      <c r="H176" s="12"/>
      <c r="I176" s="13"/>
      <c r="J176" s="13"/>
      <c r="K176" s="86"/>
      <c r="M176" s="11"/>
    </row>
    <row r="177" spans="2:13" s="9" customFormat="1" ht="12.75" customHeight="1">
      <c r="B177" s="12"/>
      <c r="C177" s="12"/>
      <c r="D177" s="12"/>
      <c r="E177" s="12"/>
      <c r="F177" s="12"/>
      <c r="G177" s="13"/>
      <c r="H177" s="12"/>
      <c r="I177" s="13"/>
      <c r="J177" s="13"/>
      <c r="K177" s="86"/>
      <c r="M177" s="11"/>
    </row>
    <row r="178" spans="2:13" s="9" customFormat="1" ht="12.75" customHeight="1">
      <c r="B178" s="12"/>
      <c r="C178" s="12"/>
      <c r="D178" s="12"/>
      <c r="E178" s="12"/>
      <c r="F178" s="12"/>
      <c r="G178" s="13"/>
      <c r="H178" s="12"/>
      <c r="I178" s="13"/>
      <c r="J178" s="13"/>
      <c r="K178" s="86"/>
      <c r="M178" s="11"/>
    </row>
    <row r="179" spans="2:13" s="9" customFormat="1" ht="12.75" customHeight="1">
      <c r="B179" s="12"/>
      <c r="C179" s="12"/>
      <c r="D179" s="12"/>
      <c r="E179" s="12"/>
      <c r="F179" s="12"/>
      <c r="G179" s="13"/>
      <c r="H179" s="12"/>
      <c r="I179" s="13"/>
      <c r="J179" s="13"/>
      <c r="K179" s="86"/>
      <c r="M179" s="11"/>
    </row>
    <row r="180" spans="2:13" s="9" customFormat="1" ht="12.75" customHeight="1">
      <c r="B180" s="12"/>
      <c r="C180" s="12"/>
      <c r="D180" s="12"/>
      <c r="E180" s="12"/>
      <c r="F180" s="12"/>
      <c r="G180" s="13"/>
      <c r="H180" s="12"/>
      <c r="I180" s="13"/>
      <c r="J180" s="13"/>
      <c r="K180" s="86"/>
      <c r="M180" s="11"/>
    </row>
    <row r="181" spans="2:13" s="9" customFormat="1" ht="12.75" customHeight="1">
      <c r="B181" s="12"/>
      <c r="C181" s="12"/>
      <c r="D181" s="12"/>
      <c r="E181" s="12"/>
      <c r="F181" s="12"/>
      <c r="G181" s="13"/>
      <c r="H181" s="12"/>
      <c r="I181" s="13"/>
      <c r="J181" s="13"/>
      <c r="K181" s="86"/>
      <c r="M181" s="11"/>
    </row>
    <row r="182" spans="2:13" s="9" customFormat="1" ht="12.75" customHeight="1">
      <c r="B182" s="12"/>
      <c r="C182" s="12"/>
      <c r="D182" s="12"/>
      <c r="E182" s="12"/>
      <c r="F182" s="12"/>
      <c r="G182" s="13"/>
      <c r="H182" s="12"/>
      <c r="I182" s="13"/>
      <c r="J182" s="13"/>
      <c r="K182" s="86"/>
      <c r="M182" s="11"/>
    </row>
    <row r="183" spans="7:13" s="9" customFormat="1" ht="12.75" customHeight="1">
      <c r="G183" s="10"/>
      <c r="I183" s="10"/>
      <c r="J183" s="10"/>
      <c r="K183" s="86"/>
      <c r="M183" s="11"/>
    </row>
    <row r="184" spans="7:13" s="9" customFormat="1" ht="12.75" customHeight="1">
      <c r="G184" s="10"/>
      <c r="I184" s="10"/>
      <c r="J184" s="10"/>
      <c r="K184" s="86"/>
      <c r="M184" s="11"/>
    </row>
    <row r="185" spans="7:13" s="9" customFormat="1" ht="12.75" customHeight="1">
      <c r="G185" s="10"/>
      <c r="I185" s="10"/>
      <c r="J185" s="10"/>
      <c r="K185" s="86"/>
      <c r="M185" s="11"/>
    </row>
    <row r="186" spans="7:13" s="9" customFormat="1" ht="12.75" customHeight="1">
      <c r="G186" s="10"/>
      <c r="I186" s="10"/>
      <c r="J186" s="10"/>
      <c r="K186" s="86"/>
      <c r="M186" s="11"/>
    </row>
    <row r="187" spans="7:13" s="9" customFormat="1" ht="12.75" customHeight="1">
      <c r="G187" s="10"/>
      <c r="I187" s="10"/>
      <c r="J187" s="10"/>
      <c r="K187" s="86"/>
      <c r="M187" s="11"/>
    </row>
    <row r="188" spans="7:13" s="9" customFormat="1" ht="12.75" customHeight="1">
      <c r="G188" s="10"/>
      <c r="I188" s="10"/>
      <c r="J188" s="10"/>
      <c r="K188" s="86"/>
      <c r="M188" s="11"/>
    </row>
    <row r="189" spans="7:13" s="9" customFormat="1" ht="12.75" customHeight="1">
      <c r="G189" s="10"/>
      <c r="I189" s="10"/>
      <c r="J189" s="10"/>
      <c r="K189" s="86"/>
      <c r="M189" s="11"/>
    </row>
    <row r="190" spans="7:13" s="9" customFormat="1" ht="12.75" customHeight="1">
      <c r="G190" s="10"/>
      <c r="I190" s="10"/>
      <c r="J190" s="10"/>
      <c r="K190" s="86"/>
      <c r="M190" s="11"/>
    </row>
    <row r="191" spans="7:13" s="9" customFormat="1" ht="12.75" customHeight="1">
      <c r="G191" s="10"/>
      <c r="I191" s="10"/>
      <c r="J191" s="10"/>
      <c r="K191" s="86"/>
      <c r="M191" s="11"/>
    </row>
    <row r="192" spans="7:13" s="9" customFormat="1" ht="12.75" customHeight="1">
      <c r="G192" s="10"/>
      <c r="I192" s="10"/>
      <c r="J192" s="10"/>
      <c r="K192" s="86"/>
      <c r="M192" s="11"/>
    </row>
    <row r="193" spans="7:13" s="9" customFormat="1" ht="12.75" customHeight="1">
      <c r="G193" s="10"/>
      <c r="I193" s="10"/>
      <c r="J193" s="10"/>
      <c r="K193" s="86"/>
      <c r="M193" s="11"/>
    </row>
    <row r="194" spans="7:13" s="9" customFormat="1" ht="12.75" customHeight="1">
      <c r="G194" s="10"/>
      <c r="I194" s="10"/>
      <c r="J194" s="10"/>
      <c r="K194" s="86"/>
      <c r="M194" s="11"/>
    </row>
    <row r="195" spans="7:13" s="9" customFormat="1" ht="12.75" customHeight="1">
      <c r="G195" s="10"/>
      <c r="I195" s="10"/>
      <c r="J195" s="10"/>
      <c r="K195" s="86"/>
      <c r="M195" s="11"/>
    </row>
    <row r="196" spans="7:13" s="9" customFormat="1" ht="12.75" customHeight="1">
      <c r="G196" s="10"/>
      <c r="I196" s="10"/>
      <c r="J196" s="10"/>
      <c r="K196" s="86"/>
      <c r="M196" s="11"/>
    </row>
    <row r="197" spans="7:13" s="9" customFormat="1" ht="12.75" customHeight="1">
      <c r="G197" s="10"/>
      <c r="I197" s="10"/>
      <c r="J197" s="10"/>
      <c r="K197" s="86"/>
      <c r="M197" s="11"/>
    </row>
    <row r="198" spans="7:13" s="9" customFormat="1" ht="12.75" customHeight="1">
      <c r="G198" s="10"/>
      <c r="I198" s="10"/>
      <c r="J198" s="10"/>
      <c r="K198" s="86"/>
      <c r="M198" s="11"/>
    </row>
    <row r="199" spans="7:13" s="9" customFormat="1" ht="12.75" customHeight="1">
      <c r="G199" s="10"/>
      <c r="I199" s="10"/>
      <c r="J199" s="10"/>
      <c r="K199" s="86"/>
      <c r="M199" s="11"/>
    </row>
    <row r="200" spans="7:13" s="9" customFormat="1" ht="12.75" customHeight="1">
      <c r="G200" s="10"/>
      <c r="I200" s="10"/>
      <c r="J200" s="10"/>
      <c r="K200" s="86"/>
      <c r="M200" s="11"/>
    </row>
    <row r="201" spans="7:13" s="9" customFormat="1" ht="12.75" customHeight="1">
      <c r="G201" s="10"/>
      <c r="I201" s="10"/>
      <c r="J201" s="10"/>
      <c r="K201" s="86"/>
      <c r="M201" s="11"/>
    </row>
    <row r="202" spans="7:13" s="9" customFormat="1" ht="12.75" customHeight="1">
      <c r="G202" s="10"/>
      <c r="I202" s="10"/>
      <c r="J202" s="10"/>
      <c r="K202" s="86"/>
      <c r="M202" s="11"/>
    </row>
    <row r="203" spans="7:13" s="9" customFormat="1" ht="12.75" customHeight="1">
      <c r="G203" s="10"/>
      <c r="I203" s="10"/>
      <c r="J203" s="10"/>
      <c r="K203" s="86"/>
      <c r="M203" s="11"/>
    </row>
    <row r="204" spans="7:13" s="9" customFormat="1" ht="12.75" customHeight="1">
      <c r="G204" s="10"/>
      <c r="I204" s="10"/>
      <c r="J204" s="10"/>
      <c r="K204" s="86"/>
      <c r="M204" s="11"/>
    </row>
    <row r="205" spans="7:13" s="9" customFormat="1" ht="12.75" customHeight="1">
      <c r="G205" s="10"/>
      <c r="I205" s="10"/>
      <c r="J205" s="10"/>
      <c r="K205" s="86"/>
      <c r="M205" s="11"/>
    </row>
    <row r="206" spans="7:13" s="9" customFormat="1" ht="12.75" customHeight="1">
      <c r="G206" s="10"/>
      <c r="I206" s="10"/>
      <c r="J206" s="10"/>
      <c r="K206" s="86"/>
      <c r="M206" s="11"/>
    </row>
    <row r="207" spans="7:13" s="9" customFormat="1" ht="12.75" customHeight="1">
      <c r="G207" s="10"/>
      <c r="I207" s="10"/>
      <c r="J207" s="10"/>
      <c r="K207" s="86"/>
      <c r="M207" s="11"/>
    </row>
    <row r="208" spans="7:13" s="9" customFormat="1" ht="12.75" customHeight="1">
      <c r="G208" s="10"/>
      <c r="I208" s="10"/>
      <c r="J208" s="10"/>
      <c r="K208" s="86"/>
      <c r="M208" s="11"/>
    </row>
    <row r="209" spans="7:13" s="9" customFormat="1" ht="12.75" customHeight="1">
      <c r="G209" s="10"/>
      <c r="I209" s="10"/>
      <c r="J209" s="10"/>
      <c r="K209" s="86"/>
      <c r="M209" s="11"/>
    </row>
    <row r="210" spans="7:13" s="9" customFormat="1" ht="12.75" customHeight="1">
      <c r="G210" s="10"/>
      <c r="I210" s="10"/>
      <c r="J210" s="10"/>
      <c r="K210" s="86"/>
      <c r="M210" s="11"/>
    </row>
    <row r="211" spans="7:13" s="9" customFormat="1" ht="12.75" customHeight="1">
      <c r="G211" s="10"/>
      <c r="I211" s="10"/>
      <c r="J211" s="10"/>
      <c r="K211" s="86"/>
      <c r="M211" s="11"/>
    </row>
    <row r="212" spans="7:13" s="9" customFormat="1" ht="12.75" customHeight="1">
      <c r="G212" s="10"/>
      <c r="I212" s="10"/>
      <c r="J212" s="10"/>
      <c r="K212" s="86"/>
      <c r="M212" s="11"/>
    </row>
    <row r="213" spans="7:13" s="9" customFormat="1" ht="12.75" customHeight="1">
      <c r="G213" s="10"/>
      <c r="I213" s="10"/>
      <c r="J213" s="10"/>
      <c r="K213" s="86"/>
      <c r="M213" s="11"/>
    </row>
    <row r="214" spans="7:13" s="9" customFormat="1" ht="12.75" customHeight="1">
      <c r="G214" s="10"/>
      <c r="I214" s="10"/>
      <c r="J214" s="10"/>
      <c r="K214" s="86"/>
      <c r="M214" s="11"/>
    </row>
    <row r="215" spans="7:13" s="9" customFormat="1" ht="12.75" customHeight="1">
      <c r="G215" s="10"/>
      <c r="I215" s="10"/>
      <c r="J215" s="10"/>
      <c r="K215" s="86"/>
      <c r="M215" s="11"/>
    </row>
    <row r="216" spans="7:13" s="9" customFormat="1" ht="12.75" customHeight="1">
      <c r="G216" s="10"/>
      <c r="I216" s="10"/>
      <c r="J216" s="10"/>
      <c r="K216" s="86"/>
      <c r="M216" s="11"/>
    </row>
    <row r="217" spans="7:13" s="9" customFormat="1" ht="12.75" customHeight="1">
      <c r="G217" s="10"/>
      <c r="I217" s="10"/>
      <c r="J217" s="10"/>
      <c r="K217" s="86"/>
      <c r="M217" s="11"/>
    </row>
    <row r="218" spans="7:13" s="9" customFormat="1" ht="12.75" customHeight="1">
      <c r="G218" s="10"/>
      <c r="I218" s="10"/>
      <c r="J218" s="10"/>
      <c r="K218" s="86"/>
      <c r="M218" s="11"/>
    </row>
    <row r="219" spans="7:13" s="9" customFormat="1" ht="12.75" customHeight="1">
      <c r="G219" s="10"/>
      <c r="I219" s="10"/>
      <c r="J219" s="10"/>
      <c r="K219" s="86"/>
      <c r="M219" s="11"/>
    </row>
    <row r="220" spans="7:13" s="9" customFormat="1" ht="12.75" customHeight="1">
      <c r="G220" s="10"/>
      <c r="I220" s="10"/>
      <c r="J220" s="10"/>
      <c r="K220" s="86"/>
      <c r="M220" s="11"/>
    </row>
    <row r="221" spans="7:13" s="9" customFormat="1" ht="12.75" customHeight="1">
      <c r="G221" s="10"/>
      <c r="I221" s="10"/>
      <c r="J221" s="10"/>
      <c r="K221" s="86"/>
      <c r="M221" s="11"/>
    </row>
    <row r="222" spans="7:13" s="9" customFormat="1" ht="12.75" customHeight="1">
      <c r="G222" s="10"/>
      <c r="I222" s="10"/>
      <c r="J222" s="10"/>
      <c r="K222" s="86"/>
      <c r="M222" s="11"/>
    </row>
    <row r="223" spans="7:13" s="9" customFormat="1" ht="12.75" customHeight="1">
      <c r="G223" s="10"/>
      <c r="I223" s="10"/>
      <c r="J223" s="10"/>
      <c r="K223" s="86"/>
      <c r="M223" s="11"/>
    </row>
    <row r="224" spans="7:13" s="9" customFormat="1" ht="12.75" customHeight="1">
      <c r="G224" s="10"/>
      <c r="I224" s="10"/>
      <c r="J224" s="10"/>
      <c r="K224" s="86"/>
      <c r="M224" s="11"/>
    </row>
    <row r="225" spans="7:13" s="9" customFormat="1" ht="12.75" customHeight="1">
      <c r="G225" s="10"/>
      <c r="I225" s="10"/>
      <c r="J225" s="10"/>
      <c r="K225" s="86"/>
      <c r="M225" s="11"/>
    </row>
    <row r="226" spans="7:13" s="9" customFormat="1" ht="12.75" customHeight="1">
      <c r="G226" s="10"/>
      <c r="I226" s="10"/>
      <c r="J226" s="10"/>
      <c r="K226" s="86"/>
      <c r="M226" s="11"/>
    </row>
    <row r="227" spans="7:13" s="9" customFormat="1" ht="12.75" customHeight="1">
      <c r="G227" s="10"/>
      <c r="I227" s="10"/>
      <c r="J227" s="10"/>
      <c r="K227" s="86"/>
      <c r="M227" s="11"/>
    </row>
    <row r="228" spans="7:13" s="9" customFormat="1" ht="12.75" customHeight="1">
      <c r="G228" s="10"/>
      <c r="I228" s="10"/>
      <c r="J228" s="10"/>
      <c r="K228" s="86"/>
      <c r="M228" s="11"/>
    </row>
    <row r="229" spans="7:13" s="9" customFormat="1" ht="12.75" customHeight="1">
      <c r="G229" s="10"/>
      <c r="I229" s="10"/>
      <c r="J229" s="10"/>
      <c r="K229" s="86"/>
      <c r="M229" s="11"/>
    </row>
    <row r="230" spans="7:13" s="9" customFormat="1" ht="12.75" customHeight="1">
      <c r="G230" s="10"/>
      <c r="I230" s="10"/>
      <c r="J230" s="10"/>
      <c r="K230" s="86"/>
      <c r="M230" s="11"/>
    </row>
    <row r="231" spans="7:13" s="9" customFormat="1" ht="12.75" customHeight="1">
      <c r="G231" s="10"/>
      <c r="I231" s="10"/>
      <c r="J231" s="10"/>
      <c r="K231" s="86"/>
      <c r="M231" s="11"/>
    </row>
    <row r="232" spans="7:13" s="9" customFormat="1" ht="12.75" customHeight="1">
      <c r="G232" s="10"/>
      <c r="I232" s="10"/>
      <c r="J232" s="10"/>
      <c r="K232" s="86"/>
      <c r="M232" s="11"/>
    </row>
    <row r="233" spans="7:13" s="9" customFormat="1" ht="12.75" customHeight="1">
      <c r="G233" s="10"/>
      <c r="I233" s="10"/>
      <c r="J233" s="10"/>
      <c r="K233" s="86"/>
      <c r="M233" s="11"/>
    </row>
    <row r="234" spans="7:13" s="9" customFormat="1" ht="12.75" customHeight="1">
      <c r="G234" s="10"/>
      <c r="I234" s="10"/>
      <c r="J234" s="10"/>
      <c r="K234" s="86"/>
      <c r="M234" s="11"/>
    </row>
    <row r="235" spans="7:13" s="9" customFormat="1" ht="12.75" customHeight="1">
      <c r="G235" s="10"/>
      <c r="I235" s="10"/>
      <c r="J235" s="10"/>
      <c r="K235" s="86"/>
      <c r="M235" s="11"/>
    </row>
    <row r="236" spans="7:13" s="9" customFormat="1" ht="12.75" customHeight="1">
      <c r="G236" s="10"/>
      <c r="I236" s="10"/>
      <c r="J236" s="10"/>
      <c r="K236" s="86"/>
      <c r="M236" s="11"/>
    </row>
    <row r="237" spans="7:13" s="9" customFormat="1" ht="12.75" customHeight="1">
      <c r="G237" s="10"/>
      <c r="I237" s="10"/>
      <c r="J237" s="10"/>
      <c r="K237" s="86"/>
      <c r="M237" s="11"/>
    </row>
    <row r="238" spans="7:13" s="9" customFormat="1" ht="12.75" customHeight="1">
      <c r="G238" s="10"/>
      <c r="I238" s="10"/>
      <c r="J238" s="10"/>
      <c r="K238" s="86"/>
      <c r="M238" s="11"/>
    </row>
    <row r="239" spans="7:13" s="9" customFormat="1" ht="12.75" customHeight="1">
      <c r="G239" s="10"/>
      <c r="I239" s="10"/>
      <c r="J239" s="10"/>
      <c r="K239" s="86"/>
      <c r="M239" s="11"/>
    </row>
    <row r="240" spans="7:13" s="9" customFormat="1" ht="12.75" customHeight="1">
      <c r="G240" s="10"/>
      <c r="I240" s="10"/>
      <c r="J240" s="10"/>
      <c r="K240" s="86"/>
      <c r="M240" s="11"/>
    </row>
    <row r="241" spans="7:13" s="9" customFormat="1" ht="12.75" customHeight="1">
      <c r="G241" s="10"/>
      <c r="I241" s="10"/>
      <c r="J241" s="10"/>
      <c r="K241" s="86"/>
      <c r="M241" s="11"/>
    </row>
    <row r="242" spans="7:13" s="9" customFormat="1" ht="12.75" customHeight="1">
      <c r="G242" s="10"/>
      <c r="I242" s="10"/>
      <c r="J242" s="10"/>
      <c r="K242" s="86"/>
      <c r="M242" s="11"/>
    </row>
    <row r="243" spans="7:13" s="9" customFormat="1" ht="12.75" customHeight="1">
      <c r="G243" s="10"/>
      <c r="I243" s="10"/>
      <c r="J243" s="10"/>
      <c r="K243" s="86"/>
      <c r="M243" s="11"/>
    </row>
    <row r="244" spans="7:13" s="9" customFormat="1" ht="12.75" customHeight="1">
      <c r="G244" s="10"/>
      <c r="I244" s="10"/>
      <c r="J244" s="10"/>
      <c r="K244" s="86"/>
      <c r="M244" s="11"/>
    </row>
    <row r="245" spans="7:13" s="9" customFormat="1" ht="12.75" customHeight="1">
      <c r="G245" s="10"/>
      <c r="I245" s="10"/>
      <c r="J245" s="10"/>
      <c r="K245" s="86"/>
      <c r="M245" s="11"/>
    </row>
    <row r="246" spans="7:13" s="9" customFormat="1" ht="12.75" customHeight="1">
      <c r="G246" s="10"/>
      <c r="I246" s="10"/>
      <c r="J246" s="10"/>
      <c r="K246" s="86"/>
      <c r="M246" s="11"/>
    </row>
    <row r="247" spans="7:13" s="9" customFormat="1" ht="12.75" customHeight="1">
      <c r="G247" s="10"/>
      <c r="I247" s="10"/>
      <c r="J247" s="10"/>
      <c r="K247" s="86"/>
      <c r="M247" s="11"/>
    </row>
    <row r="248" spans="7:13" s="9" customFormat="1" ht="12.75" customHeight="1">
      <c r="G248" s="10"/>
      <c r="I248" s="10"/>
      <c r="J248" s="10"/>
      <c r="K248" s="86"/>
      <c r="M248" s="11"/>
    </row>
    <row r="249" spans="7:13" s="9" customFormat="1" ht="12.75" customHeight="1">
      <c r="G249" s="10"/>
      <c r="I249" s="10"/>
      <c r="J249" s="10"/>
      <c r="K249" s="86"/>
      <c r="M249" s="11"/>
    </row>
    <row r="250" spans="7:13" s="9" customFormat="1" ht="12.75" customHeight="1">
      <c r="G250" s="10"/>
      <c r="I250" s="10"/>
      <c r="J250" s="10"/>
      <c r="K250" s="86"/>
      <c r="M250" s="11"/>
    </row>
    <row r="251" spans="7:13" s="9" customFormat="1" ht="12.75" customHeight="1">
      <c r="G251" s="10"/>
      <c r="I251" s="10"/>
      <c r="J251" s="10"/>
      <c r="K251" s="86"/>
      <c r="M251" s="11"/>
    </row>
    <row r="252" spans="7:13" s="9" customFormat="1" ht="12.75" customHeight="1">
      <c r="G252" s="10"/>
      <c r="I252" s="10"/>
      <c r="J252" s="10"/>
      <c r="K252" s="86"/>
      <c r="M252" s="11"/>
    </row>
    <row r="253" spans="7:13" s="9" customFormat="1" ht="12.75" customHeight="1">
      <c r="G253" s="10"/>
      <c r="I253" s="10"/>
      <c r="J253" s="10"/>
      <c r="K253" s="86"/>
      <c r="M253" s="11"/>
    </row>
    <row r="254" spans="7:13" s="9" customFormat="1" ht="12.75" customHeight="1">
      <c r="G254" s="10"/>
      <c r="I254" s="10"/>
      <c r="J254" s="10"/>
      <c r="K254" s="86"/>
      <c r="M254" s="11"/>
    </row>
    <row r="255" spans="7:13" s="9" customFormat="1" ht="12.75" customHeight="1">
      <c r="G255" s="10"/>
      <c r="I255" s="10"/>
      <c r="J255" s="10"/>
      <c r="K255" s="86"/>
      <c r="M255" s="11"/>
    </row>
    <row r="256" spans="7:13" s="9" customFormat="1" ht="12.75" customHeight="1">
      <c r="G256" s="10"/>
      <c r="I256" s="10"/>
      <c r="J256" s="10"/>
      <c r="K256" s="86"/>
      <c r="M256" s="11"/>
    </row>
    <row r="257" spans="7:13" s="9" customFormat="1" ht="12.75" customHeight="1">
      <c r="G257" s="10"/>
      <c r="I257" s="10"/>
      <c r="J257" s="10"/>
      <c r="K257" s="86"/>
      <c r="M257" s="11"/>
    </row>
    <row r="258" spans="7:13" s="9" customFormat="1" ht="12.75" customHeight="1">
      <c r="G258" s="10"/>
      <c r="I258" s="10"/>
      <c r="J258" s="10"/>
      <c r="K258" s="86"/>
      <c r="M258" s="11"/>
    </row>
    <row r="259" spans="7:13" s="9" customFormat="1" ht="12.75" customHeight="1">
      <c r="G259" s="10"/>
      <c r="I259" s="10"/>
      <c r="J259" s="10"/>
      <c r="K259" s="86"/>
      <c r="M259" s="11"/>
    </row>
    <row r="260" spans="7:13" s="9" customFormat="1" ht="12.75" customHeight="1">
      <c r="G260" s="10"/>
      <c r="I260" s="10"/>
      <c r="J260" s="10"/>
      <c r="K260" s="86"/>
      <c r="M260" s="11"/>
    </row>
    <row r="261" spans="7:13" s="9" customFormat="1" ht="12.75" customHeight="1">
      <c r="G261" s="10"/>
      <c r="I261" s="10"/>
      <c r="J261" s="10"/>
      <c r="K261" s="86"/>
      <c r="M261" s="11"/>
    </row>
    <row r="262" spans="7:13" s="9" customFormat="1" ht="12.75" customHeight="1">
      <c r="G262" s="10"/>
      <c r="I262" s="10"/>
      <c r="J262" s="10"/>
      <c r="K262" s="86"/>
      <c r="M262" s="11"/>
    </row>
    <row r="263" spans="7:13" s="9" customFormat="1" ht="12.75" customHeight="1">
      <c r="G263" s="10"/>
      <c r="I263" s="10"/>
      <c r="J263" s="10"/>
      <c r="K263" s="86"/>
      <c r="M263" s="11"/>
    </row>
    <row r="264" spans="7:13" s="9" customFormat="1" ht="12.75" customHeight="1">
      <c r="G264" s="10"/>
      <c r="I264" s="10"/>
      <c r="J264" s="10"/>
      <c r="K264" s="86"/>
      <c r="M264" s="11"/>
    </row>
    <row r="265" spans="7:13" s="9" customFormat="1" ht="12.75" customHeight="1">
      <c r="G265" s="10"/>
      <c r="I265" s="10"/>
      <c r="J265" s="10"/>
      <c r="K265" s="86"/>
      <c r="M265" s="11"/>
    </row>
    <row r="266" spans="7:13" s="9" customFormat="1" ht="12.75" customHeight="1">
      <c r="G266" s="10"/>
      <c r="I266" s="10"/>
      <c r="J266" s="10"/>
      <c r="K266" s="86"/>
      <c r="M266" s="11"/>
    </row>
    <row r="267" spans="7:13" s="9" customFormat="1" ht="12.75" customHeight="1">
      <c r="G267" s="10"/>
      <c r="I267" s="10"/>
      <c r="J267" s="10"/>
      <c r="K267" s="86"/>
      <c r="M267" s="11"/>
    </row>
    <row r="268" spans="7:13" s="9" customFormat="1" ht="12.75" customHeight="1">
      <c r="G268" s="10"/>
      <c r="I268" s="10"/>
      <c r="J268" s="10"/>
      <c r="K268" s="86"/>
      <c r="M268" s="11"/>
    </row>
    <row r="269" spans="7:13" s="9" customFormat="1" ht="12.75" customHeight="1">
      <c r="G269" s="10"/>
      <c r="I269" s="10"/>
      <c r="J269" s="10"/>
      <c r="K269" s="86"/>
      <c r="M269" s="11"/>
    </row>
    <row r="270" spans="7:13" s="9" customFormat="1" ht="12.75" customHeight="1">
      <c r="G270" s="10"/>
      <c r="I270" s="10"/>
      <c r="J270" s="10"/>
      <c r="K270" s="86"/>
      <c r="M270" s="11"/>
    </row>
    <row r="271" spans="7:13" s="9" customFormat="1" ht="12.75" customHeight="1">
      <c r="G271" s="10"/>
      <c r="I271" s="10"/>
      <c r="J271" s="10"/>
      <c r="K271" s="86"/>
      <c r="M271" s="11"/>
    </row>
    <row r="272" spans="7:13" s="9" customFormat="1" ht="12.75" customHeight="1">
      <c r="G272" s="10"/>
      <c r="I272" s="10"/>
      <c r="J272" s="10"/>
      <c r="K272" s="86"/>
      <c r="M272" s="11"/>
    </row>
    <row r="273" spans="7:13" s="9" customFormat="1" ht="12.75" customHeight="1">
      <c r="G273" s="10"/>
      <c r="I273" s="10"/>
      <c r="J273" s="10"/>
      <c r="K273" s="86"/>
      <c r="M273" s="11"/>
    </row>
    <row r="274" spans="7:13" s="9" customFormat="1" ht="12.75" customHeight="1">
      <c r="G274" s="10"/>
      <c r="I274" s="10"/>
      <c r="J274" s="10"/>
      <c r="K274" s="86"/>
      <c r="M274" s="11"/>
    </row>
    <row r="275" spans="7:13" s="9" customFormat="1" ht="12.75" customHeight="1">
      <c r="G275" s="10"/>
      <c r="I275" s="10"/>
      <c r="J275" s="10"/>
      <c r="K275" s="86"/>
      <c r="M275" s="11"/>
    </row>
    <row r="276" spans="7:13" s="9" customFormat="1" ht="12.75" customHeight="1">
      <c r="G276" s="10"/>
      <c r="I276" s="10"/>
      <c r="J276" s="10"/>
      <c r="K276" s="86"/>
      <c r="M276" s="11"/>
    </row>
    <row r="277" spans="7:13" s="9" customFormat="1" ht="12.75" customHeight="1">
      <c r="G277" s="10"/>
      <c r="I277" s="10"/>
      <c r="J277" s="10"/>
      <c r="K277" s="86"/>
      <c r="M277" s="11"/>
    </row>
    <row r="278" spans="7:13" s="9" customFormat="1" ht="12.75" customHeight="1">
      <c r="G278" s="10"/>
      <c r="I278" s="10"/>
      <c r="J278" s="10"/>
      <c r="K278" s="86"/>
      <c r="M278" s="11"/>
    </row>
    <row r="279" spans="7:13" s="9" customFormat="1" ht="12.75" customHeight="1">
      <c r="G279" s="10"/>
      <c r="I279" s="10"/>
      <c r="J279" s="10"/>
      <c r="K279" s="86"/>
      <c r="M279" s="11"/>
    </row>
    <row r="280" spans="7:13" s="9" customFormat="1" ht="12.75" customHeight="1">
      <c r="G280" s="10"/>
      <c r="I280" s="10"/>
      <c r="J280" s="10"/>
      <c r="K280" s="86"/>
      <c r="M280" s="11"/>
    </row>
    <row r="281" spans="7:13" s="9" customFormat="1" ht="12.75" customHeight="1">
      <c r="G281" s="10"/>
      <c r="I281" s="10"/>
      <c r="J281" s="10"/>
      <c r="K281" s="86"/>
      <c r="M281" s="11"/>
    </row>
    <row r="282" spans="7:13" s="9" customFormat="1" ht="12.75" customHeight="1">
      <c r="G282" s="10"/>
      <c r="I282" s="10"/>
      <c r="J282" s="10"/>
      <c r="K282" s="86"/>
      <c r="M282" s="11"/>
    </row>
    <row r="283" spans="7:13" s="9" customFormat="1" ht="12.75" customHeight="1">
      <c r="G283" s="10"/>
      <c r="I283" s="10"/>
      <c r="J283" s="10"/>
      <c r="K283" s="86"/>
      <c r="M283" s="11"/>
    </row>
    <row r="284" spans="7:13" s="9" customFormat="1" ht="12.75" customHeight="1">
      <c r="G284" s="10"/>
      <c r="I284" s="10"/>
      <c r="J284" s="10"/>
      <c r="K284" s="86"/>
      <c r="M284" s="11"/>
    </row>
    <row r="285" spans="7:13" s="9" customFormat="1" ht="12.75" customHeight="1">
      <c r="G285" s="10"/>
      <c r="I285" s="10"/>
      <c r="J285" s="10"/>
      <c r="K285" s="86"/>
      <c r="M285" s="11"/>
    </row>
    <row r="286" spans="7:13" s="9" customFormat="1" ht="12.75" customHeight="1">
      <c r="G286" s="10"/>
      <c r="I286" s="10"/>
      <c r="J286" s="10"/>
      <c r="K286" s="86"/>
      <c r="M286" s="11"/>
    </row>
    <row r="287" spans="7:13" s="9" customFormat="1" ht="12.75" customHeight="1">
      <c r="G287" s="10"/>
      <c r="I287" s="10"/>
      <c r="J287" s="10"/>
      <c r="K287" s="86"/>
      <c r="M287" s="11"/>
    </row>
    <row r="288" spans="7:13" s="9" customFormat="1" ht="12.75" customHeight="1">
      <c r="G288" s="10"/>
      <c r="I288" s="10"/>
      <c r="J288" s="10"/>
      <c r="K288" s="86"/>
      <c r="M288" s="11"/>
    </row>
    <row r="289" spans="7:13" s="9" customFormat="1" ht="12.75" customHeight="1">
      <c r="G289" s="10"/>
      <c r="I289" s="10"/>
      <c r="J289" s="10"/>
      <c r="K289" s="86"/>
      <c r="M289" s="11"/>
    </row>
    <row r="290" spans="7:13" s="9" customFormat="1" ht="12.75" customHeight="1">
      <c r="G290" s="10"/>
      <c r="I290" s="10"/>
      <c r="J290" s="10"/>
      <c r="K290" s="86"/>
      <c r="M290" s="11"/>
    </row>
    <row r="291" spans="7:13" s="9" customFormat="1" ht="12.75" customHeight="1">
      <c r="G291" s="10"/>
      <c r="I291" s="10"/>
      <c r="J291" s="10"/>
      <c r="K291" s="86"/>
      <c r="M291" s="11"/>
    </row>
    <row r="292" spans="7:13" s="9" customFormat="1" ht="12.75" customHeight="1">
      <c r="G292" s="10"/>
      <c r="I292" s="10"/>
      <c r="J292" s="10"/>
      <c r="K292" s="86"/>
      <c r="M292" s="11"/>
    </row>
    <row r="293" spans="7:13" s="9" customFormat="1" ht="12.75" customHeight="1">
      <c r="G293" s="10"/>
      <c r="I293" s="10"/>
      <c r="J293" s="10"/>
      <c r="K293" s="86"/>
      <c r="M293" s="11"/>
    </row>
    <row r="294" spans="7:13" s="9" customFormat="1" ht="12.75" customHeight="1">
      <c r="G294" s="10"/>
      <c r="I294" s="10"/>
      <c r="J294" s="10"/>
      <c r="K294" s="86"/>
      <c r="M294" s="11"/>
    </row>
    <row r="295" spans="7:13" s="9" customFormat="1" ht="12.75" customHeight="1">
      <c r="G295" s="10"/>
      <c r="I295" s="10"/>
      <c r="J295" s="10"/>
      <c r="K295" s="86"/>
      <c r="M295" s="11"/>
    </row>
    <row r="296" spans="7:13" s="9" customFormat="1" ht="12.75" customHeight="1">
      <c r="G296" s="10"/>
      <c r="I296" s="10"/>
      <c r="J296" s="10"/>
      <c r="K296" s="86"/>
      <c r="M296" s="11"/>
    </row>
    <row r="297" spans="7:13" s="9" customFormat="1" ht="12.75" customHeight="1">
      <c r="G297" s="10"/>
      <c r="I297" s="10"/>
      <c r="J297" s="10"/>
      <c r="K297" s="86"/>
      <c r="M297" s="11"/>
    </row>
    <row r="298" spans="7:13" s="9" customFormat="1" ht="12.75" customHeight="1">
      <c r="G298" s="10"/>
      <c r="I298" s="10"/>
      <c r="J298" s="10"/>
      <c r="K298" s="86"/>
      <c r="M298" s="11"/>
    </row>
    <row r="299" spans="7:13" s="9" customFormat="1" ht="12.75" customHeight="1">
      <c r="G299" s="10"/>
      <c r="I299" s="10"/>
      <c r="J299" s="10"/>
      <c r="K299" s="86"/>
      <c r="M299" s="11"/>
    </row>
    <row r="300" spans="7:13" s="9" customFormat="1" ht="12.75" customHeight="1">
      <c r="G300" s="10"/>
      <c r="I300" s="10"/>
      <c r="J300" s="10"/>
      <c r="K300" s="86"/>
      <c r="M300" s="11"/>
    </row>
    <row r="301" spans="7:13" s="9" customFormat="1" ht="12.75" customHeight="1">
      <c r="G301" s="10"/>
      <c r="I301" s="10"/>
      <c r="J301" s="10"/>
      <c r="K301" s="86"/>
      <c r="M301" s="11"/>
    </row>
    <row r="302" spans="7:13" s="9" customFormat="1" ht="12.75" customHeight="1">
      <c r="G302" s="10"/>
      <c r="I302" s="10"/>
      <c r="J302" s="10"/>
      <c r="K302" s="86"/>
      <c r="M302" s="11"/>
    </row>
    <row r="303" spans="7:13" s="9" customFormat="1" ht="12.75" customHeight="1">
      <c r="G303" s="10"/>
      <c r="I303" s="10"/>
      <c r="J303" s="10"/>
      <c r="K303" s="86"/>
      <c r="M303" s="11"/>
    </row>
    <row r="304" spans="7:13" s="9" customFormat="1" ht="12.75" customHeight="1">
      <c r="G304" s="10"/>
      <c r="I304" s="10"/>
      <c r="J304" s="10"/>
      <c r="K304" s="86"/>
      <c r="M304" s="11"/>
    </row>
    <row r="305" spans="7:13" s="9" customFormat="1" ht="12.75" customHeight="1">
      <c r="G305" s="10"/>
      <c r="I305" s="10"/>
      <c r="J305" s="10"/>
      <c r="K305" s="86"/>
      <c r="M305" s="11"/>
    </row>
    <row r="306" spans="7:13" s="9" customFormat="1" ht="12.75" customHeight="1">
      <c r="G306" s="10"/>
      <c r="I306" s="10"/>
      <c r="J306" s="10"/>
      <c r="K306" s="86"/>
      <c r="M306" s="11"/>
    </row>
    <row r="307" spans="7:13" s="9" customFormat="1" ht="12.75" customHeight="1">
      <c r="G307" s="10"/>
      <c r="I307" s="10"/>
      <c r="J307" s="10"/>
      <c r="K307" s="86"/>
      <c r="M307" s="11"/>
    </row>
    <row r="308" spans="7:13" s="9" customFormat="1" ht="12.75" customHeight="1">
      <c r="G308" s="10"/>
      <c r="I308" s="10"/>
      <c r="J308" s="10"/>
      <c r="K308" s="86"/>
      <c r="M308" s="11"/>
    </row>
    <row r="309" spans="7:13" s="9" customFormat="1" ht="12.75" customHeight="1">
      <c r="G309" s="10"/>
      <c r="I309" s="10"/>
      <c r="J309" s="10"/>
      <c r="K309" s="86"/>
      <c r="M309" s="11"/>
    </row>
    <row r="310" spans="7:13" s="9" customFormat="1" ht="12.75" customHeight="1">
      <c r="G310" s="10"/>
      <c r="I310" s="10"/>
      <c r="J310" s="10"/>
      <c r="K310" s="86"/>
      <c r="M310" s="11"/>
    </row>
    <row r="311" spans="7:13" s="9" customFormat="1" ht="12.75" customHeight="1">
      <c r="G311" s="10"/>
      <c r="I311" s="10"/>
      <c r="J311" s="10"/>
      <c r="K311" s="86"/>
      <c r="M311" s="11"/>
    </row>
    <row r="312" spans="7:13" s="9" customFormat="1" ht="12.75" customHeight="1">
      <c r="G312" s="10"/>
      <c r="I312" s="10"/>
      <c r="J312" s="10"/>
      <c r="K312" s="86"/>
      <c r="M312" s="11"/>
    </row>
    <row r="313" spans="7:13" s="9" customFormat="1" ht="12.75" customHeight="1">
      <c r="G313" s="10"/>
      <c r="I313" s="10"/>
      <c r="J313" s="10"/>
      <c r="K313" s="86"/>
      <c r="M313" s="11"/>
    </row>
    <row r="314" spans="7:13" s="9" customFormat="1" ht="12.75" customHeight="1">
      <c r="G314" s="10"/>
      <c r="I314" s="10"/>
      <c r="J314" s="10"/>
      <c r="K314" s="86"/>
      <c r="M314" s="11"/>
    </row>
    <row r="315" spans="7:13" s="9" customFormat="1" ht="12.75" customHeight="1">
      <c r="G315" s="10"/>
      <c r="I315" s="10"/>
      <c r="J315" s="10"/>
      <c r="K315" s="86"/>
      <c r="M315" s="11"/>
    </row>
    <row r="316" spans="7:13" s="9" customFormat="1" ht="12.75" customHeight="1">
      <c r="G316" s="10"/>
      <c r="I316" s="10"/>
      <c r="J316" s="10"/>
      <c r="K316" s="86"/>
      <c r="M316" s="11"/>
    </row>
    <row r="317" spans="7:13" s="9" customFormat="1" ht="12.75" customHeight="1">
      <c r="G317" s="10"/>
      <c r="I317" s="10"/>
      <c r="J317" s="10"/>
      <c r="K317" s="86"/>
      <c r="M317" s="11"/>
    </row>
    <row r="318" spans="7:13" s="9" customFormat="1" ht="12.75" customHeight="1">
      <c r="G318" s="10"/>
      <c r="I318" s="10"/>
      <c r="J318" s="10"/>
      <c r="K318" s="86"/>
      <c r="M318" s="11"/>
    </row>
    <row r="319" spans="7:13" s="9" customFormat="1" ht="12.75" customHeight="1">
      <c r="G319" s="10"/>
      <c r="I319" s="10"/>
      <c r="J319" s="10"/>
      <c r="K319" s="86"/>
      <c r="M319" s="11"/>
    </row>
    <row r="320" spans="7:13" s="9" customFormat="1" ht="12.75" customHeight="1">
      <c r="G320" s="10"/>
      <c r="I320" s="10"/>
      <c r="J320" s="10"/>
      <c r="K320" s="86"/>
      <c r="M320" s="11"/>
    </row>
    <row r="321" spans="7:13" s="9" customFormat="1" ht="12.75" customHeight="1">
      <c r="G321" s="10"/>
      <c r="I321" s="10"/>
      <c r="J321" s="10"/>
      <c r="K321" s="86"/>
      <c r="M321" s="11"/>
    </row>
    <row r="322" spans="7:13" s="9" customFormat="1" ht="12.75" customHeight="1">
      <c r="G322" s="10"/>
      <c r="I322" s="10"/>
      <c r="J322" s="10"/>
      <c r="K322" s="86"/>
      <c r="M322" s="11"/>
    </row>
    <row r="323" spans="7:13" s="9" customFormat="1" ht="12.75" customHeight="1">
      <c r="G323" s="10"/>
      <c r="I323" s="10"/>
      <c r="J323" s="10"/>
      <c r="K323" s="86"/>
      <c r="M323" s="11"/>
    </row>
    <row r="324" spans="7:13" s="9" customFormat="1" ht="12.75" customHeight="1">
      <c r="G324" s="10"/>
      <c r="I324" s="10"/>
      <c r="J324" s="10"/>
      <c r="K324" s="86"/>
      <c r="M324" s="11"/>
    </row>
    <row r="325" spans="7:13" s="9" customFormat="1" ht="12.75" customHeight="1">
      <c r="G325" s="10"/>
      <c r="I325" s="10"/>
      <c r="J325" s="10"/>
      <c r="K325" s="86"/>
      <c r="M325" s="11"/>
    </row>
    <row r="326" spans="7:13" s="9" customFormat="1" ht="12.75" customHeight="1">
      <c r="G326" s="10"/>
      <c r="I326" s="10"/>
      <c r="J326" s="10"/>
      <c r="K326" s="86"/>
      <c r="M326" s="11"/>
    </row>
    <row r="327" spans="7:13" s="9" customFormat="1" ht="12.75" customHeight="1">
      <c r="G327" s="10"/>
      <c r="I327" s="10"/>
      <c r="J327" s="10"/>
      <c r="K327" s="86"/>
      <c r="M327" s="11"/>
    </row>
    <row r="328" spans="7:13" s="9" customFormat="1" ht="12.75" customHeight="1">
      <c r="G328" s="10"/>
      <c r="I328" s="10"/>
      <c r="J328" s="10"/>
      <c r="K328" s="86"/>
      <c r="M328" s="11"/>
    </row>
    <row r="329" spans="7:13" s="9" customFormat="1" ht="12.75" customHeight="1">
      <c r="G329" s="10"/>
      <c r="I329" s="10"/>
      <c r="J329" s="10"/>
      <c r="K329" s="86"/>
      <c r="M329" s="11"/>
    </row>
    <row r="330" spans="7:13" s="9" customFormat="1" ht="12.75" customHeight="1">
      <c r="G330" s="10"/>
      <c r="I330" s="10"/>
      <c r="J330" s="10"/>
      <c r="K330" s="86"/>
      <c r="M330" s="11"/>
    </row>
    <row r="331" spans="7:13" s="9" customFormat="1" ht="12.75" customHeight="1">
      <c r="G331" s="10"/>
      <c r="I331" s="10"/>
      <c r="J331" s="10"/>
      <c r="K331" s="86"/>
      <c r="M331" s="11"/>
    </row>
    <row r="332" spans="7:13" s="9" customFormat="1" ht="12.75" customHeight="1">
      <c r="G332" s="10"/>
      <c r="I332" s="10"/>
      <c r="J332" s="10"/>
      <c r="K332" s="86"/>
      <c r="M332" s="11"/>
    </row>
    <row r="333" spans="7:13" s="9" customFormat="1" ht="12.75" customHeight="1">
      <c r="G333" s="10"/>
      <c r="I333" s="10"/>
      <c r="J333" s="10"/>
      <c r="K333" s="86"/>
      <c r="M333" s="11"/>
    </row>
    <row r="334" spans="7:13" s="9" customFormat="1" ht="12.75" customHeight="1">
      <c r="G334" s="10"/>
      <c r="I334" s="10"/>
      <c r="J334" s="10"/>
      <c r="K334" s="86"/>
      <c r="M334" s="11"/>
    </row>
    <row r="335" spans="7:13" s="9" customFormat="1" ht="12.75" customHeight="1">
      <c r="G335" s="10"/>
      <c r="I335" s="10"/>
      <c r="J335" s="10"/>
      <c r="K335" s="86"/>
      <c r="M335" s="11"/>
    </row>
    <row r="336" spans="7:13" s="9" customFormat="1" ht="12.75" customHeight="1">
      <c r="G336" s="10"/>
      <c r="I336" s="10"/>
      <c r="J336" s="10"/>
      <c r="K336" s="86"/>
      <c r="M336" s="11"/>
    </row>
    <row r="337" spans="7:13" s="9" customFormat="1" ht="12.75" customHeight="1">
      <c r="G337" s="10"/>
      <c r="I337" s="10"/>
      <c r="J337" s="10"/>
      <c r="K337" s="86"/>
      <c r="M337" s="11"/>
    </row>
    <row r="338" spans="7:13" s="9" customFormat="1" ht="12.75" customHeight="1">
      <c r="G338" s="10"/>
      <c r="I338" s="10"/>
      <c r="J338" s="10"/>
      <c r="K338" s="86"/>
      <c r="M338" s="11"/>
    </row>
    <row r="339" spans="7:13" s="9" customFormat="1" ht="12.75" customHeight="1">
      <c r="G339" s="10"/>
      <c r="I339" s="10"/>
      <c r="J339" s="10"/>
      <c r="K339" s="86"/>
      <c r="M339" s="11"/>
    </row>
    <row r="340" spans="7:13" s="9" customFormat="1" ht="12.75" customHeight="1">
      <c r="G340" s="10"/>
      <c r="I340" s="10"/>
      <c r="J340" s="10"/>
      <c r="K340" s="86"/>
      <c r="M340" s="11"/>
    </row>
    <row r="341" spans="7:13" s="9" customFormat="1" ht="12.75" customHeight="1">
      <c r="G341" s="10"/>
      <c r="I341" s="10"/>
      <c r="J341" s="10"/>
      <c r="K341" s="86"/>
      <c r="M341" s="11"/>
    </row>
    <row r="342" spans="7:13" s="9" customFormat="1" ht="12.75" customHeight="1">
      <c r="G342" s="10"/>
      <c r="I342" s="10"/>
      <c r="J342" s="10"/>
      <c r="K342" s="86"/>
      <c r="M342" s="11"/>
    </row>
    <row r="343" spans="7:13" s="9" customFormat="1" ht="12.75" customHeight="1">
      <c r="G343" s="10"/>
      <c r="I343" s="10"/>
      <c r="J343" s="10"/>
      <c r="K343" s="86"/>
      <c r="M343" s="11"/>
    </row>
    <row r="344" spans="7:13" s="9" customFormat="1" ht="12.75" customHeight="1">
      <c r="G344" s="10"/>
      <c r="I344" s="10"/>
      <c r="J344" s="10"/>
      <c r="K344" s="86"/>
      <c r="M344" s="11"/>
    </row>
    <row r="345" spans="7:13" s="9" customFormat="1" ht="12.75" customHeight="1">
      <c r="G345" s="10"/>
      <c r="I345" s="10"/>
      <c r="J345" s="10"/>
      <c r="K345" s="86"/>
      <c r="M345" s="11"/>
    </row>
    <row r="346" spans="7:13" s="9" customFormat="1" ht="12.75" customHeight="1">
      <c r="G346" s="10"/>
      <c r="I346" s="10"/>
      <c r="J346" s="10"/>
      <c r="K346" s="86"/>
      <c r="M346" s="11"/>
    </row>
    <row r="347" spans="7:13" s="9" customFormat="1" ht="12.75" customHeight="1">
      <c r="G347" s="10"/>
      <c r="I347" s="10"/>
      <c r="J347" s="10"/>
      <c r="K347" s="86"/>
      <c r="M347" s="11"/>
    </row>
    <row r="348" spans="7:13" s="9" customFormat="1" ht="12.75" customHeight="1">
      <c r="G348" s="10"/>
      <c r="I348" s="10"/>
      <c r="J348" s="10"/>
      <c r="K348" s="86"/>
      <c r="M348" s="11"/>
    </row>
    <row r="349" spans="7:13" s="9" customFormat="1" ht="12.75" customHeight="1">
      <c r="G349" s="10"/>
      <c r="I349" s="10"/>
      <c r="J349" s="10"/>
      <c r="K349" s="86"/>
      <c r="M349" s="11"/>
    </row>
    <row r="350" spans="7:13" s="9" customFormat="1" ht="12.75" customHeight="1">
      <c r="G350" s="10"/>
      <c r="I350" s="10"/>
      <c r="J350" s="10"/>
      <c r="K350" s="86"/>
      <c r="M350" s="11"/>
    </row>
    <row r="351" spans="7:13" s="9" customFormat="1" ht="12.75" customHeight="1">
      <c r="G351" s="10"/>
      <c r="I351" s="10"/>
      <c r="J351" s="10"/>
      <c r="K351" s="86"/>
      <c r="M351" s="11"/>
    </row>
    <row r="352" spans="7:13" s="9" customFormat="1" ht="12.75" customHeight="1">
      <c r="G352" s="10"/>
      <c r="I352" s="10"/>
      <c r="J352" s="10"/>
      <c r="K352" s="86"/>
      <c r="M352" s="11"/>
    </row>
    <row r="353" spans="7:13" s="9" customFormat="1" ht="12.75" customHeight="1">
      <c r="G353" s="10"/>
      <c r="I353" s="10"/>
      <c r="J353" s="10"/>
      <c r="K353" s="86"/>
      <c r="M353" s="11"/>
    </row>
    <row r="354" spans="7:13" s="9" customFormat="1" ht="12.75" customHeight="1">
      <c r="G354" s="10"/>
      <c r="I354" s="10"/>
      <c r="J354" s="10"/>
      <c r="K354" s="86"/>
      <c r="M354" s="11"/>
    </row>
    <row r="355" spans="7:13" s="9" customFormat="1" ht="12.75" customHeight="1">
      <c r="G355" s="10"/>
      <c r="I355" s="10"/>
      <c r="J355" s="10"/>
      <c r="K355" s="86"/>
      <c r="M355" s="11"/>
    </row>
    <row r="356" spans="7:13" s="9" customFormat="1" ht="12.75" customHeight="1">
      <c r="G356" s="10"/>
      <c r="I356" s="10"/>
      <c r="J356" s="10"/>
      <c r="K356" s="86"/>
      <c r="M356" s="11"/>
    </row>
    <row r="357" spans="7:13" s="9" customFormat="1" ht="12.75" customHeight="1">
      <c r="G357" s="10"/>
      <c r="I357" s="10"/>
      <c r="J357" s="10"/>
      <c r="K357" s="86"/>
      <c r="M357" s="11"/>
    </row>
    <row r="358" spans="7:13" s="9" customFormat="1" ht="12.75" customHeight="1">
      <c r="G358" s="10"/>
      <c r="I358" s="10"/>
      <c r="J358" s="10"/>
      <c r="K358" s="86"/>
      <c r="M358" s="11"/>
    </row>
    <row r="359" spans="7:13" s="9" customFormat="1" ht="12.75" customHeight="1">
      <c r="G359" s="10"/>
      <c r="I359" s="10"/>
      <c r="J359" s="10"/>
      <c r="K359" s="86"/>
      <c r="M359" s="11"/>
    </row>
    <row r="360" spans="7:13" s="9" customFormat="1" ht="12.75" customHeight="1">
      <c r="G360" s="10"/>
      <c r="I360" s="10"/>
      <c r="J360" s="10"/>
      <c r="K360" s="86"/>
      <c r="M360" s="11"/>
    </row>
    <row r="361" spans="7:13" s="9" customFormat="1" ht="12.75" customHeight="1">
      <c r="G361" s="10"/>
      <c r="I361" s="10"/>
      <c r="J361" s="10"/>
      <c r="K361" s="86"/>
      <c r="M361" s="11"/>
    </row>
    <row r="362" spans="7:13" s="9" customFormat="1" ht="12.75" customHeight="1">
      <c r="G362" s="10"/>
      <c r="I362" s="10"/>
      <c r="J362" s="10"/>
      <c r="K362" s="86"/>
      <c r="M362" s="11"/>
    </row>
    <row r="363" spans="7:13" s="9" customFormat="1" ht="12.75" customHeight="1">
      <c r="G363" s="10"/>
      <c r="I363" s="10"/>
      <c r="J363" s="10"/>
      <c r="K363" s="86"/>
      <c r="M363" s="11"/>
    </row>
    <row r="364" spans="7:13" s="9" customFormat="1" ht="12.75" customHeight="1">
      <c r="G364" s="10"/>
      <c r="I364" s="10"/>
      <c r="J364" s="10"/>
      <c r="K364" s="86"/>
      <c r="M364" s="11"/>
    </row>
    <row r="365" spans="7:13" s="9" customFormat="1" ht="12.75" customHeight="1">
      <c r="G365" s="10"/>
      <c r="I365" s="10"/>
      <c r="J365" s="10"/>
      <c r="K365" s="86"/>
      <c r="M365" s="11"/>
    </row>
    <row r="366" spans="7:13" s="9" customFormat="1" ht="12.75" customHeight="1">
      <c r="G366" s="10"/>
      <c r="I366" s="10"/>
      <c r="J366" s="10"/>
      <c r="K366" s="86"/>
      <c r="M366" s="11"/>
    </row>
    <row r="367" spans="7:13" s="9" customFormat="1" ht="12.75" customHeight="1">
      <c r="G367" s="10"/>
      <c r="I367" s="10"/>
      <c r="J367" s="10"/>
      <c r="K367" s="86"/>
      <c r="M367" s="11"/>
    </row>
    <row r="368" spans="7:13" s="9" customFormat="1" ht="12.75" customHeight="1">
      <c r="G368" s="10"/>
      <c r="I368" s="10"/>
      <c r="J368" s="10"/>
      <c r="K368" s="86"/>
      <c r="M368" s="11"/>
    </row>
    <row r="369" spans="7:13" s="9" customFormat="1" ht="12.75" customHeight="1">
      <c r="G369" s="10"/>
      <c r="I369" s="10"/>
      <c r="J369" s="10"/>
      <c r="K369" s="86"/>
      <c r="M369" s="11"/>
    </row>
    <row r="370" spans="7:13" s="9" customFormat="1" ht="12.75" customHeight="1">
      <c r="G370" s="10"/>
      <c r="I370" s="10"/>
      <c r="J370" s="10"/>
      <c r="K370" s="86"/>
      <c r="M370" s="11"/>
    </row>
    <row r="371" spans="7:13" s="9" customFormat="1" ht="12.75" customHeight="1">
      <c r="G371" s="10"/>
      <c r="I371" s="10"/>
      <c r="J371" s="10"/>
      <c r="K371" s="86"/>
      <c r="M371" s="11"/>
    </row>
    <row r="372" spans="7:13" s="9" customFormat="1" ht="12.75" customHeight="1">
      <c r="G372" s="10"/>
      <c r="I372" s="10"/>
      <c r="J372" s="10"/>
      <c r="K372" s="86"/>
      <c r="M372" s="11"/>
    </row>
    <row r="373" spans="7:13" s="9" customFormat="1" ht="12.75" customHeight="1">
      <c r="G373" s="10"/>
      <c r="I373" s="10"/>
      <c r="J373" s="10"/>
      <c r="K373" s="86"/>
      <c r="M373" s="11"/>
    </row>
    <row r="374" spans="7:13" s="9" customFormat="1" ht="12.75" customHeight="1">
      <c r="G374" s="10"/>
      <c r="I374" s="10"/>
      <c r="J374" s="10"/>
      <c r="K374" s="86"/>
      <c r="M374" s="11"/>
    </row>
    <row r="375" spans="7:13" s="9" customFormat="1" ht="12.75" customHeight="1">
      <c r="G375" s="10"/>
      <c r="I375" s="10"/>
      <c r="J375" s="10"/>
      <c r="K375" s="86"/>
      <c r="M375" s="11"/>
    </row>
    <row r="376" spans="7:13" s="9" customFormat="1" ht="12.75" customHeight="1">
      <c r="G376" s="10"/>
      <c r="I376" s="10"/>
      <c r="J376" s="10"/>
      <c r="K376" s="86"/>
      <c r="M376" s="11"/>
    </row>
    <row r="377" spans="7:13" s="9" customFormat="1" ht="12.75" customHeight="1">
      <c r="G377" s="10"/>
      <c r="I377" s="10"/>
      <c r="J377" s="10"/>
      <c r="K377" s="86"/>
      <c r="M377" s="11"/>
    </row>
    <row r="378" spans="7:13" s="9" customFormat="1" ht="12.75" customHeight="1">
      <c r="G378" s="10"/>
      <c r="I378" s="10"/>
      <c r="J378" s="10"/>
      <c r="K378" s="86"/>
      <c r="M378" s="11"/>
    </row>
    <row r="379" spans="7:13" s="9" customFormat="1" ht="12.75" customHeight="1">
      <c r="G379" s="10"/>
      <c r="I379" s="10"/>
      <c r="J379" s="10"/>
      <c r="K379" s="86"/>
      <c r="M379" s="11"/>
    </row>
    <row r="380" spans="7:13" s="9" customFormat="1" ht="12.75" customHeight="1">
      <c r="G380" s="10"/>
      <c r="I380" s="10"/>
      <c r="J380" s="10"/>
      <c r="K380" s="86"/>
      <c r="M380" s="11"/>
    </row>
    <row r="381" spans="7:13" s="9" customFormat="1" ht="12.75" customHeight="1">
      <c r="G381" s="10"/>
      <c r="I381" s="10"/>
      <c r="J381" s="10"/>
      <c r="K381" s="86"/>
      <c r="M381" s="11"/>
    </row>
    <row r="382" spans="7:13" s="9" customFormat="1" ht="12.75" customHeight="1">
      <c r="G382" s="10"/>
      <c r="I382" s="10"/>
      <c r="J382" s="10"/>
      <c r="K382" s="86"/>
      <c r="M382" s="11"/>
    </row>
    <row r="383" spans="7:13" s="9" customFormat="1" ht="12.75" customHeight="1">
      <c r="G383" s="10"/>
      <c r="I383" s="10"/>
      <c r="J383" s="10"/>
      <c r="K383" s="86"/>
      <c r="M383" s="11"/>
    </row>
    <row r="384" spans="7:13" s="9" customFormat="1" ht="12.75" customHeight="1">
      <c r="G384" s="10"/>
      <c r="I384" s="10"/>
      <c r="J384" s="10"/>
      <c r="K384" s="86"/>
      <c r="M384" s="11"/>
    </row>
    <row r="385" spans="7:13" s="9" customFormat="1" ht="12.75" customHeight="1">
      <c r="G385" s="10"/>
      <c r="I385" s="10"/>
      <c r="J385" s="10"/>
      <c r="K385" s="86"/>
      <c r="M385" s="11"/>
    </row>
    <row r="386" spans="7:13" s="9" customFormat="1" ht="12.75" customHeight="1">
      <c r="G386" s="10"/>
      <c r="I386" s="10"/>
      <c r="J386" s="10"/>
      <c r="K386" s="86"/>
      <c r="M386" s="11"/>
    </row>
    <row r="387" spans="7:13" s="9" customFormat="1" ht="12.75" customHeight="1">
      <c r="G387" s="10"/>
      <c r="I387" s="10"/>
      <c r="J387" s="10"/>
      <c r="K387" s="86"/>
      <c r="M387" s="11"/>
    </row>
    <row r="388" spans="7:13" s="9" customFormat="1" ht="12.75" customHeight="1">
      <c r="G388" s="10"/>
      <c r="I388" s="10"/>
      <c r="J388" s="10"/>
      <c r="K388" s="86"/>
      <c r="M388" s="11"/>
    </row>
    <row r="389" spans="7:13" s="9" customFormat="1" ht="12.75" customHeight="1">
      <c r="G389" s="10"/>
      <c r="I389" s="10"/>
      <c r="J389" s="10"/>
      <c r="K389" s="86"/>
      <c r="M389" s="11"/>
    </row>
    <row r="390" spans="7:13" s="9" customFormat="1" ht="12.75" customHeight="1">
      <c r="G390" s="10"/>
      <c r="I390" s="10"/>
      <c r="J390" s="10"/>
      <c r="K390" s="86"/>
      <c r="M390" s="11"/>
    </row>
    <row r="391" spans="7:13" s="9" customFormat="1" ht="12.75" customHeight="1">
      <c r="G391" s="10"/>
      <c r="I391" s="10"/>
      <c r="J391" s="10"/>
      <c r="K391" s="86"/>
      <c r="M391" s="11"/>
    </row>
    <row r="392" spans="7:13" s="9" customFormat="1" ht="12.75" customHeight="1">
      <c r="G392" s="10"/>
      <c r="I392" s="10"/>
      <c r="J392" s="10"/>
      <c r="K392" s="86"/>
      <c r="M392" s="11"/>
    </row>
    <row r="393" spans="7:13" s="9" customFormat="1" ht="12.75" customHeight="1">
      <c r="G393" s="10"/>
      <c r="I393" s="10"/>
      <c r="J393" s="10"/>
      <c r="K393" s="86"/>
      <c r="M393" s="11"/>
    </row>
    <row r="394" spans="7:13" s="9" customFormat="1" ht="12.75" customHeight="1">
      <c r="G394" s="10"/>
      <c r="I394" s="10"/>
      <c r="J394" s="10"/>
      <c r="K394" s="86"/>
      <c r="M394" s="11"/>
    </row>
    <row r="395" spans="7:13" s="9" customFormat="1" ht="12.75" customHeight="1">
      <c r="G395" s="10"/>
      <c r="I395" s="10"/>
      <c r="J395" s="10"/>
      <c r="K395" s="86"/>
      <c r="M395" s="11"/>
    </row>
    <row r="396" spans="7:13" s="9" customFormat="1" ht="12.75" customHeight="1">
      <c r="G396" s="10"/>
      <c r="I396" s="10"/>
      <c r="J396" s="10"/>
      <c r="K396" s="86"/>
      <c r="M396" s="11"/>
    </row>
    <row r="397" spans="7:13" s="9" customFormat="1" ht="12.75" customHeight="1">
      <c r="G397" s="10"/>
      <c r="I397" s="10"/>
      <c r="J397" s="10"/>
      <c r="K397" s="86"/>
      <c r="M397" s="11"/>
    </row>
    <row r="398" spans="7:13" s="9" customFormat="1" ht="12.75" customHeight="1">
      <c r="G398" s="10"/>
      <c r="I398" s="10"/>
      <c r="J398" s="10"/>
      <c r="K398" s="86"/>
      <c r="M398" s="11"/>
    </row>
    <row r="399" spans="7:13" s="9" customFormat="1" ht="12.75" customHeight="1">
      <c r="G399" s="10"/>
      <c r="I399" s="10"/>
      <c r="J399" s="10"/>
      <c r="K399" s="86"/>
      <c r="M399" s="11"/>
    </row>
    <row r="400" spans="7:13" s="9" customFormat="1" ht="12.75" customHeight="1">
      <c r="G400" s="10"/>
      <c r="I400" s="10"/>
      <c r="J400" s="10"/>
      <c r="K400" s="86"/>
      <c r="M400" s="11"/>
    </row>
    <row r="401" spans="7:13" s="9" customFormat="1" ht="12.75" customHeight="1">
      <c r="G401" s="10"/>
      <c r="I401" s="10"/>
      <c r="J401" s="10"/>
      <c r="K401" s="86"/>
      <c r="M401" s="11"/>
    </row>
    <row r="402" spans="7:13" s="9" customFormat="1" ht="12.75" customHeight="1">
      <c r="G402" s="10"/>
      <c r="I402" s="10"/>
      <c r="J402" s="10"/>
      <c r="K402" s="86"/>
      <c r="M402" s="11"/>
    </row>
    <row r="403" spans="7:13" s="9" customFormat="1" ht="12.75" customHeight="1">
      <c r="G403" s="10"/>
      <c r="I403" s="10"/>
      <c r="J403" s="10"/>
      <c r="K403" s="86"/>
      <c r="M403" s="11"/>
    </row>
    <row r="404" spans="7:13" s="9" customFormat="1" ht="12.75" customHeight="1">
      <c r="G404" s="10"/>
      <c r="I404" s="10"/>
      <c r="J404" s="10"/>
      <c r="K404" s="86"/>
      <c r="M404" s="11"/>
    </row>
    <row r="405" spans="7:13" s="9" customFormat="1" ht="12.75" customHeight="1">
      <c r="G405" s="10"/>
      <c r="I405" s="10"/>
      <c r="J405" s="10"/>
      <c r="K405" s="86"/>
      <c r="M405" s="11"/>
    </row>
    <row r="406" spans="7:13" s="9" customFormat="1" ht="12.75" customHeight="1">
      <c r="G406" s="10"/>
      <c r="I406" s="10"/>
      <c r="J406" s="10"/>
      <c r="K406" s="86"/>
      <c r="M406" s="11"/>
    </row>
    <row r="407" spans="7:13" s="9" customFormat="1" ht="12.75" customHeight="1">
      <c r="G407" s="10"/>
      <c r="I407" s="10"/>
      <c r="J407" s="10"/>
      <c r="K407" s="86"/>
      <c r="M407" s="11"/>
    </row>
    <row r="408" spans="7:13" s="9" customFormat="1" ht="12.75" customHeight="1">
      <c r="G408" s="10"/>
      <c r="I408" s="10"/>
      <c r="J408" s="10"/>
      <c r="K408" s="86"/>
      <c r="M408" s="11"/>
    </row>
    <row r="409" spans="7:13" s="9" customFormat="1" ht="12.75" customHeight="1">
      <c r="G409" s="10"/>
      <c r="I409" s="10"/>
      <c r="J409" s="10"/>
      <c r="K409" s="86"/>
      <c r="M409" s="11"/>
    </row>
    <row r="410" spans="7:13" s="9" customFormat="1" ht="12.75" customHeight="1">
      <c r="G410" s="10"/>
      <c r="I410" s="10"/>
      <c r="J410" s="10"/>
      <c r="K410" s="86"/>
      <c r="M410" s="11"/>
    </row>
    <row r="411" spans="7:13" s="9" customFormat="1" ht="12.75" customHeight="1">
      <c r="G411" s="10"/>
      <c r="I411" s="10"/>
      <c r="J411" s="10"/>
      <c r="K411" s="86"/>
      <c r="M411" s="11"/>
    </row>
    <row r="412" spans="7:13" s="9" customFormat="1" ht="12.75" customHeight="1">
      <c r="G412" s="10"/>
      <c r="I412" s="10"/>
      <c r="J412" s="10"/>
      <c r="K412" s="86"/>
      <c r="M412" s="11"/>
    </row>
    <row r="413" spans="7:13" s="9" customFormat="1" ht="12.75" customHeight="1">
      <c r="G413" s="10"/>
      <c r="I413" s="10"/>
      <c r="J413" s="10"/>
      <c r="K413" s="86"/>
      <c r="M413" s="11"/>
    </row>
    <row r="414" spans="7:13" s="9" customFormat="1" ht="12.75" customHeight="1">
      <c r="G414" s="10"/>
      <c r="I414" s="10"/>
      <c r="J414" s="10"/>
      <c r="K414" s="86"/>
      <c r="M414" s="11"/>
    </row>
    <row r="415" spans="7:13" s="9" customFormat="1" ht="12.75" customHeight="1">
      <c r="G415" s="10"/>
      <c r="I415" s="10"/>
      <c r="J415" s="10"/>
      <c r="K415" s="86"/>
      <c r="M415" s="11"/>
    </row>
    <row r="416" spans="7:13" s="9" customFormat="1" ht="12.75" customHeight="1">
      <c r="G416" s="10"/>
      <c r="I416" s="10"/>
      <c r="J416" s="10"/>
      <c r="K416" s="86"/>
      <c r="M416" s="11"/>
    </row>
    <row r="417" spans="7:13" s="9" customFormat="1" ht="12.75" customHeight="1">
      <c r="G417" s="10"/>
      <c r="I417" s="10"/>
      <c r="J417" s="10"/>
      <c r="K417" s="86"/>
      <c r="M417" s="11"/>
    </row>
    <row r="418" spans="7:13" s="9" customFormat="1" ht="12.75" customHeight="1">
      <c r="G418" s="10"/>
      <c r="I418" s="10"/>
      <c r="J418" s="10"/>
      <c r="K418" s="86"/>
      <c r="M418" s="11"/>
    </row>
    <row r="419" spans="7:13" s="9" customFormat="1" ht="12.75" customHeight="1">
      <c r="G419" s="10"/>
      <c r="I419" s="10"/>
      <c r="J419" s="10"/>
      <c r="K419" s="86"/>
      <c r="M419" s="11"/>
    </row>
    <row r="420" spans="7:13" s="9" customFormat="1" ht="12.75" customHeight="1">
      <c r="G420" s="10"/>
      <c r="I420" s="10"/>
      <c r="J420" s="10"/>
      <c r="K420" s="86"/>
      <c r="M420" s="11"/>
    </row>
    <row r="421" spans="7:13" s="9" customFormat="1" ht="12.75" customHeight="1">
      <c r="G421" s="10"/>
      <c r="I421" s="10"/>
      <c r="J421" s="10"/>
      <c r="K421" s="86"/>
      <c r="M421" s="11"/>
    </row>
    <row r="422" spans="7:13" s="9" customFormat="1" ht="12.75" customHeight="1">
      <c r="G422" s="10"/>
      <c r="I422" s="10"/>
      <c r="J422" s="10"/>
      <c r="K422" s="86"/>
      <c r="M422" s="11"/>
    </row>
    <row r="423" spans="7:13" s="9" customFormat="1" ht="12.75" customHeight="1">
      <c r="G423" s="10"/>
      <c r="I423" s="10"/>
      <c r="J423" s="10"/>
      <c r="K423" s="86"/>
      <c r="M423" s="11"/>
    </row>
    <row r="424" spans="7:13" s="9" customFormat="1" ht="12.75" customHeight="1">
      <c r="G424" s="10"/>
      <c r="I424" s="10"/>
      <c r="J424" s="10"/>
      <c r="K424" s="86"/>
      <c r="M424" s="11"/>
    </row>
    <row r="425" spans="7:13" s="9" customFormat="1" ht="12.75" customHeight="1">
      <c r="G425" s="10"/>
      <c r="I425" s="10"/>
      <c r="J425" s="10"/>
      <c r="K425" s="86"/>
      <c r="M425" s="11"/>
    </row>
    <row r="426" spans="7:13" s="9" customFormat="1" ht="12.75" customHeight="1">
      <c r="G426" s="10"/>
      <c r="I426" s="10"/>
      <c r="J426" s="10"/>
      <c r="K426" s="86"/>
      <c r="M426" s="11"/>
    </row>
    <row r="427" spans="7:13" s="9" customFormat="1" ht="12.75" customHeight="1">
      <c r="G427" s="10"/>
      <c r="I427" s="10"/>
      <c r="J427" s="10"/>
      <c r="K427" s="86"/>
      <c r="M427" s="11"/>
    </row>
    <row r="428" spans="7:13" s="9" customFormat="1" ht="12.75" customHeight="1">
      <c r="G428" s="10"/>
      <c r="I428" s="10"/>
      <c r="J428" s="10"/>
      <c r="K428" s="86"/>
      <c r="M428" s="11"/>
    </row>
    <row r="429" spans="7:13" s="9" customFormat="1" ht="12.75" customHeight="1">
      <c r="G429" s="10"/>
      <c r="I429" s="10"/>
      <c r="J429" s="10"/>
      <c r="K429" s="86"/>
      <c r="M429" s="11"/>
    </row>
    <row r="430" spans="7:13" s="9" customFormat="1" ht="12.75" customHeight="1">
      <c r="G430" s="10"/>
      <c r="I430" s="10"/>
      <c r="J430" s="10"/>
      <c r="K430" s="86"/>
      <c r="M430" s="11"/>
    </row>
    <row r="431" spans="7:13" s="9" customFormat="1" ht="12.75" customHeight="1">
      <c r="G431" s="10"/>
      <c r="I431" s="10"/>
      <c r="J431" s="10"/>
      <c r="K431" s="86"/>
      <c r="M431" s="11"/>
    </row>
    <row r="432" spans="7:13" s="9" customFormat="1" ht="12.75" customHeight="1">
      <c r="G432" s="10"/>
      <c r="I432" s="10"/>
      <c r="J432" s="10"/>
      <c r="K432" s="86"/>
      <c r="M432" s="11"/>
    </row>
    <row r="433" spans="7:13" s="9" customFormat="1" ht="12.75" customHeight="1">
      <c r="G433" s="10"/>
      <c r="I433" s="10"/>
      <c r="J433" s="10"/>
      <c r="K433" s="86"/>
      <c r="M433" s="11"/>
    </row>
    <row r="434" spans="7:13" s="9" customFormat="1" ht="12.75" customHeight="1">
      <c r="G434" s="10"/>
      <c r="I434" s="10"/>
      <c r="J434" s="10"/>
      <c r="K434" s="86"/>
      <c r="M434" s="11"/>
    </row>
    <row r="435" spans="7:13" s="9" customFormat="1" ht="12.75" customHeight="1">
      <c r="G435" s="10"/>
      <c r="I435" s="10"/>
      <c r="J435" s="10"/>
      <c r="K435" s="86"/>
      <c r="M435" s="11"/>
    </row>
    <row r="436" spans="7:13" s="9" customFormat="1" ht="12.75" customHeight="1">
      <c r="G436" s="10"/>
      <c r="I436" s="10"/>
      <c r="J436" s="10"/>
      <c r="K436" s="86"/>
      <c r="M436" s="11"/>
    </row>
    <row r="437" spans="7:13" s="9" customFormat="1" ht="12.75" customHeight="1">
      <c r="G437" s="10"/>
      <c r="I437" s="10"/>
      <c r="J437" s="10"/>
      <c r="K437" s="86"/>
      <c r="M437" s="11"/>
    </row>
    <row r="438" spans="7:13" s="9" customFormat="1" ht="12.75" customHeight="1">
      <c r="G438" s="10"/>
      <c r="I438" s="10"/>
      <c r="J438" s="10"/>
      <c r="K438" s="86"/>
      <c r="M438" s="11"/>
    </row>
    <row r="439" spans="7:13" s="9" customFormat="1" ht="12.75" customHeight="1">
      <c r="G439" s="10"/>
      <c r="I439" s="10"/>
      <c r="J439" s="10"/>
      <c r="K439" s="86"/>
      <c r="M439" s="11"/>
    </row>
    <row r="440" spans="7:13" s="9" customFormat="1" ht="12.75" customHeight="1">
      <c r="G440" s="10"/>
      <c r="I440" s="10"/>
      <c r="J440" s="10"/>
      <c r="K440" s="86"/>
      <c r="M440" s="11"/>
    </row>
    <row r="441" spans="7:13" s="9" customFormat="1" ht="12.75" customHeight="1">
      <c r="G441" s="10"/>
      <c r="I441" s="10"/>
      <c r="J441" s="10"/>
      <c r="K441" s="86"/>
      <c r="M441" s="11"/>
    </row>
    <row r="442" spans="7:13" s="9" customFormat="1" ht="12.75" customHeight="1">
      <c r="G442" s="10"/>
      <c r="I442" s="10"/>
      <c r="J442" s="10"/>
      <c r="K442" s="86"/>
      <c r="M442" s="11"/>
    </row>
    <row r="443" spans="7:13" s="9" customFormat="1" ht="12.75" customHeight="1">
      <c r="G443" s="10"/>
      <c r="I443" s="10"/>
      <c r="J443" s="10"/>
      <c r="K443" s="86"/>
      <c r="M443" s="11"/>
    </row>
    <row r="444" spans="7:13" s="9" customFormat="1" ht="12.75" customHeight="1">
      <c r="G444" s="10"/>
      <c r="I444" s="10"/>
      <c r="J444" s="10"/>
      <c r="K444" s="86"/>
      <c r="M444" s="11"/>
    </row>
    <row r="445" spans="7:13" s="9" customFormat="1" ht="12.75" customHeight="1">
      <c r="G445" s="10"/>
      <c r="I445" s="10"/>
      <c r="J445" s="10"/>
      <c r="K445" s="86"/>
      <c r="M445" s="11"/>
    </row>
    <row r="446" spans="7:13" s="9" customFormat="1" ht="12.75" customHeight="1">
      <c r="G446" s="10"/>
      <c r="I446" s="10"/>
      <c r="J446" s="10"/>
      <c r="K446" s="86"/>
      <c r="M446" s="11"/>
    </row>
    <row r="447" spans="7:13" s="9" customFormat="1" ht="12.75" customHeight="1">
      <c r="G447" s="10"/>
      <c r="I447" s="10"/>
      <c r="J447" s="10"/>
      <c r="K447" s="86"/>
      <c r="M447" s="11"/>
    </row>
    <row r="448" spans="7:13" s="9" customFormat="1" ht="12.75" customHeight="1">
      <c r="G448" s="10"/>
      <c r="I448" s="10"/>
      <c r="J448" s="10"/>
      <c r="K448" s="86"/>
      <c r="M448" s="11"/>
    </row>
    <row r="449" spans="7:13" s="9" customFormat="1" ht="12.75" customHeight="1">
      <c r="G449" s="10"/>
      <c r="I449" s="10"/>
      <c r="J449" s="10"/>
      <c r="K449" s="86"/>
      <c r="M449" s="11"/>
    </row>
    <row r="450" spans="7:13" s="9" customFormat="1" ht="12.75" customHeight="1">
      <c r="G450" s="10"/>
      <c r="I450" s="10"/>
      <c r="J450" s="10"/>
      <c r="K450" s="86"/>
      <c r="M450" s="11"/>
    </row>
    <row r="451" spans="7:13" s="9" customFormat="1" ht="12.75" customHeight="1">
      <c r="G451" s="10"/>
      <c r="I451" s="10"/>
      <c r="J451" s="10"/>
      <c r="K451" s="86"/>
      <c r="M451" s="11"/>
    </row>
    <row r="452" spans="7:13" s="9" customFormat="1" ht="12.75" customHeight="1">
      <c r="G452" s="10"/>
      <c r="I452" s="10"/>
      <c r="J452" s="10"/>
      <c r="K452" s="86"/>
      <c r="M452" s="11"/>
    </row>
    <row r="453" spans="7:13" s="9" customFormat="1" ht="12.75" customHeight="1">
      <c r="G453" s="10"/>
      <c r="I453" s="10"/>
      <c r="J453" s="10"/>
      <c r="K453" s="86"/>
      <c r="M453" s="11"/>
    </row>
    <row r="454" spans="7:13" s="9" customFormat="1" ht="12.75" customHeight="1">
      <c r="G454" s="10"/>
      <c r="I454" s="10"/>
      <c r="J454" s="10"/>
      <c r="K454" s="86"/>
      <c r="M454" s="11"/>
    </row>
    <row r="455" spans="7:13" s="9" customFormat="1" ht="12.75" customHeight="1">
      <c r="G455" s="10"/>
      <c r="I455" s="10"/>
      <c r="J455" s="10"/>
      <c r="K455" s="86"/>
      <c r="M455" s="11"/>
    </row>
    <row r="456" spans="7:13" s="9" customFormat="1" ht="12.75" customHeight="1">
      <c r="G456" s="10"/>
      <c r="I456" s="10"/>
      <c r="J456" s="10"/>
      <c r="K456" s="86"/>
      <c r="M456" s="11"/>
    </row>
    <row r="457" spans="7:13" s="9" customFormat="1" ht="12.75" customHeight="1">
      <c r="G457" s="10"/>
      <c r="I457" s="10"/>
      <c r="J457" s="10"/>
      <c r="K457" s="86"/>
      <c r="M457" s="11"/>
    </row>
    <row r="458" spans="7:13" s="9" customFormat="1" ht="12.75" customHeight="1">
      <c r="G458" s="10"/>
      <c r="I458" s="10"/>
      <c r="J458" s="10"/>
      <c r="K458" s="86"/>
      <c r="M458" s="11"/>
    </row>
    <row r="459" spans="7:13" s="9" customFormat="1" ht="12.75" customHeight="1">
      <c r="G459" s="10"/>
      <c r="I459" s="10"/>
      <c r="J459" s="10"/>
      <c r="K459" s="86"/>
      <c r="M459" s="11"/>
    </row>
    <row r="460" spans="7:13" s="9" customFormat="1" ht="12.75" customHeight="1">
      <c r="G460" s="10"/>
      <c r="I460" s="10"/>
      <c r="J460" s="10"/>
      <c r="K460" s="86"/>
      <c r="M460" s="11"/>
    </row>
    <row r="461" spans="7:13" s="9" customFormat="1" ht="12.75" customHeight="1">
      <c r="G461" s="10"/>
      <c r="I461" s="10"/>
      <c r="J461" s="10"/>
      <c r="K461" s="86"/>
      <c r="M461" s="11"/>
    </row>
    <row r="462" spans="7:13" s="9" customFormat="1" ht="12.75" customHeight="1">
      <c r="G462" s="10"/>
      <c r="I462" s="10"/>
      <c r="J462" s="10"/>
      <c r="K462" s="86"/>
      <c r="M462" s="11"/>
    </row>
    <row r="463" spans="7:13" s="9" customFormat="1" ht="12.75" customHeight="1">
      <c r="G463" s="10"/>
      <c r="I463" s="10"/>
      <c r="J463" s="10"/>
      <c r="K463" s="86"/>
      <c r="M463" s="11"/>
    </row>
    <row r="464" spans="7:13" s="9" customFormat="1" ht="12.75" customHeight="1">
      <c r="G464" s="10"/>
      <c r="I464" s="10"/>
      <c r="J464" s="10"/>
      <c r="K464" s="86"/>
      <c r="M464" s="11"/>
    </row>
    <row r="465" spans="7:13" s="9" customFormat="1" ht="12.75" customHeight="1">
      <c r="G465" s="10"/>
      <c r="I465" s="10"/>
      <c r="J465" s="10"/>
      <c r="K465" s="86"/>
      <c r="M465" s="11"/>
    </row>
    <row r="466" spans="7:13" s="9" customFormat="1" ht="12.75" customHeight="1">
      <c r="G466" s="10"/>
      <c r="I466" s="10"/>
      <c r="J466" s="10"/>
      <c r="K466" s="86"/>
      <c r="M466" s="11"/>
    </row>
    <row r="467" spans="7:13" s="9" customFormat="1" ht="12.75" customHeight="1">
      <c r="G467" s="10"/>
      <c r="I467" s="10"/>
      <c r="J467" s="10"/>
      <c r="K467" s="86"/>
      <c r="M467" s="11"/>
    </row>
    <row r="468" spans="7:13" s="9" customFormat="1" ht="12.75" customHeight="1">
      <c r="G468" s="10"/>
      <c r="I468" s="10"/>
      <c r="J468" s="10"/>
      <c r="K468" s="86"/>
      <c r="M468" s="11"/>
    </row>
    <row r="469" spans="7:13" s="9" customFormat="1" ht="12.75" customHeight="1">
      <c r="G469" s="10"/>
      <c r="I469" s="10"/>
      <c r="J469" s="10"/>
      <c r="K469" s="86"/>
      <c r="M469" s="11"/>
    </row>
    <row r="470" spans="7:13" s="9" customFormat="1" ht="12.75" customHeight="1">
      <c r="G470" s="10"/>
      <c r="I470" s="10"/>
      <c r="J470" s="10"/>
      <c r="K470" s="86"/>
      <c r="M470" s="11"/>
    </row>
    <row r="471" spans="7:13" s="9" customFormat="1" ht="12.75" customHeight="1">
      <c r="G471" s="10"/>
      <c r="I471" s="10"/>
      <c r="J471" s="10"/>
      <c r="K471" s="86"/>
      <c r="M471" s="11"/>
    </row>
    <row r="472" spans="7:13" s="9" customFormat="1" ht="12.75" customHeight="1">
      <c r="G472" s="10"/>
      <c r="I472" s="10"/>
      <c r="J472" s="10"/>
      <c r="K472" s="86"/>
      <c r="M472" s="11"/>
    </row>
    <row r="473" spans="7:13" s="9" customFormat="1" ht="12.75" customHeight="1">
      <c r="G473" s="10"/>
      <c r="I473" s="10"/>
      <c r="J473" s="10"/>
      <c r="K473" s="86"/>
      <c r="M473" s="11"/>
    </row>
    <row r="474" spans="7:13" s="9" customFormat="1" ht="12.75" customHeight="1">
      <c r="G474" s="10"/>
      <c r="I474" s="10"/>
      <c r="J474" s="10"/>
      <c r="K474" s="86"/>
      <c r="M474" s="11"/>
    </row>
    <row r="475" spans="7:13" s="9" customFormat="1" ht="12.75" customHeight="1">
      <c r="G475" s="10"/>
      <c r="I475" s="10"/>
      <c r="J475" s="10"/>
      <c r="K475" s="86"/>
      <c r="M475" s="11"/>
    </row>
    <row r="476" spans="7:13" s="9" customFormat="1" ht="12.75" customHeight="1">
      <c r="G476" s="10"/>
      <c r="I476" s="10"/>
      <c r="J476" s="10"/>
      <c r="K476" s="86"/>
      <c r="M476" s="11"/>
    </row>
    <row r="477" spans="7:13" s="9" customFormat="1" ht="12.75" customHeight="1">
      <c r="G477" s="10"/>
      <c r="I477" s="10"/>
      <c r="J477" s="10"/>
      <c r="K477" s="86"/>
      <c r="M477" s="11"/>
    </row>
    <row r="478" spans="7:13" s="9" customFormat="1" ht="12.75" customHeight="1">
      <c r="G478" s="10"/>
      <c r="I478" s="10"/>
      <c r="J478" s="10"/>
      <c r="K478" s="86"/>
      <c r="M478" s="11"/>
    </row>
    <row r="479" spans="7:13" s="9" customFormat="1" ht="12.75" customHeight="1">
      <c r="G479" s="10"/>
      <c r="I479" s="10"/>
      <c r="J479" s="10"/>
      <c r="K479" s="86"/>
      <c r="M479" s="11"/>
    </row>
    <row r="480" spans="7:13" s="9" customFormat="1" ht="12.75" customHeight="1">
      <c r="G480" s="10"/>
      <c r="I480" s="10"/>
      <c r="J480" s="10"/>
      <c r="K480" s="86"/>
      <c r="M480" s="11"/>
    </row>
    <row r="481" spans="7:13" s="9" customFormat="1" ht="12.75" customHeight="1">
      <c r="G481" s="10"/>
      <c r="I481" s="10"/>
      <c r="J481" s="10"/>
      <c r="K481" s="86"/>
      <c r="M481" s="11"/>
    </row>
    <row r="482" spans="7:13" s="9" customFormat="1" ht="12.75" customHeight="1">
      <c r="G482" s="10"/>
      <c r="I482" s="10"/>
      <c r="J482" s="10"/>
      <c r="K482" s="86"/>
      <c r="M482" s="11"/>
    </row>
    <row r="483" spans="7:13" s="9" customFormat="1" ht="12.75" customHeight="1">
      <c r="G483" s="10"/>
      <c r="I483" s="10"/>
      <c r="J483" s="10"/>
      <c r="K483" s="86"/>
      <c r="M483" s="11"/>
    </row>
    <row r="484" spans="7:13" s="9" customFormat="1" ht="12.75" customHeight="1">
      <c r="G484" s="10"/>
      <c r="I484" s="10"/>
      <c r="J484" s="10"/>
      <c r="K484" s="86"/>
      <c r="M484" s="11"/>
    </row>
    <row r="485" spans="7:13" s="9" customFormat="1" ht="12.75" customHeight="1">
      <c r="G485" s="10"/>
      <c r="I485" s="10"/>
      <c r="J485" s="10"/>
      <c r="K485" s="86"/>
      <c r="M485" s="11"/>
    </row>
    <row r="486" spans="7:13" s="9" customFormat="1" ht="12.75" customHeight="1">
      <c r="G486" s="10"/>
      <c r="I486" s="10"/>
      <c r="J486" s="10"/>
      <c r="K486" s="86"/>
      <c r="M486" s="11"/>
    </row>
    <row r="487" spans="7:13" s="9" customFormat="1" ht="12.75" customHeight="1">
      <c r="G487" s="10"/>
      <c r="I487" s="10"/>
      <c r="J487" s="10"/>
      <c r="K487" s="86"/>
      <c r="M487" s="11"/>
    </row>
    <row r="488" spans="7:13" s="9" customFormat="1" ht="12.75" customHeight="1">
      <c r="G488" s="10"/>
      <c r="I488" s="10"/>
      <c r="J488" s="10"/>
      <c r="K488" s="86"/>
      <c r="M488" s="11"/>
    </row>
    <row r="489" spans="7:13" s="9" customFormat="1" ht="12.75" customHeight="1">
      <c r="G489" s="10"/>
      <c r="I489" s="10"/>
      <c r="J489" s="10"/>
      <c r="K489" s="86"/>
      <c r="M489" s="11"/>
    </row>
    <row r="490" spans="7:13" s="9" customFormat="1" ht="12.75" customHeight="1">
      <c r="G490" s="10"/>
      <c r="I490" s="10"/>
      <c r="J490" s="10"/>
      <c r="K490" s="86"/>
      <c r="M490" s="11"/>
    </row>
  </sheetData>
  <printOptions gridLines="1" horizontalCentered="1"/>
  <pageMargins left="0.31496062992126" right="0.31496062992126" top="0.75" bottom="0.6" header="0.511811023622047" footer="0.354330708661417"/>
  <pageSetup fitToHeight="4" fitToWidth="4" orientation="landscape" paperSize="9" r:id="rId2"/>
  <headerFooter alignWithMargins="0">
    <oddHeader>&amp;C&amp;"Times New Roman Cyr,Regular"Теплотехнические расчеты согл.  СНИП-II-3-79*</oddHeader>
    <oddFooter>&amp;CPage &amp;P&amp;R&amp;D       &amp;T</oddFooter>
  </headerFooter>
  <rowBreaks count="1" manualBreakCount="1">
    <brk id="4" max="1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6"/>
  <sheetViews>
    <sheetView workbookViewId="0" topLeftCell="A1">
      <selection activeCell="G31" sqref="G31"/>
    </sheetView>
  </sheetViews>
  <sheetFormatPr defaultColWidth="9.140625" defaultRowHeight="12.75" customHeight="1"/>
  <cols>
    <col min="1" max="1" width="5.00390625" style="0" customWidth="1"/>
    <col min="2" max="2" width="38.57421875" style="0" customWidth="1"/>
    <col min="3" max="3" width="7.7109375" style="0" customWidth="1"/>
    <col min="4" max="4" width="6.7109375" style="0" customWidth="1"/>
    <col min="5" max="5" width="5.7109375" style="0" customWidth="1"/>
    <col min="6" max="6" width="7.8515625" style="0" customWidth="1"/>
    <col min="7" max="7" width="5.421875" style="1" customWidth="1"/>
    <col min="8" max="8" width="7.421875" style="0" customWidth="1"/>
    <col min="9" max="9" width="8.421875" style="1" customWidth="1"/>
    <col min="10" max="10" width="7.7109375" style="1" customWidth="1"/>
    <col min="11" max="11" width="7.7109375" style="40" customWidth="1"/>
    <col min="12" max="12" width="5.7109375" style="0" customWidth="1"/>
    <col min="13" max="13" width="7.7109375" style="2" customWidth="1"/>
    <col min="14" max="14" width="9.8515625" style="0" customWidth="1"/>
    <col min="15" max="15" width="7.28125" style="0" customWidth="1"/>
    <col min="16" max="16" width="4.421875" style="0" customWidth="1"/>
    <col min="17" max="17" width="6.28125" style="0" customWidth="1"/>
    <col min="18" max="18" width="5.8515625" style="0" customWidth="1"/>
    <col min="19" max="19" width="7.7109375" style="0" customWidth="1"/>
    <col min="20" max="20" width="9.28125" style="0" customWidth="1"/>
    <col min="21" max="21" width="3.140625" style="0" customWidth="1"/>
    <col min="22" max="22" width="2.140625" style="0" customWidth="1"/>
    <col min="23" max="23" width="3.8515625" style="0" customWidth="1"/>
    <col min="24" max="24" width="5.00390625" style="0" customWidth="1"/>
    <col min="25" max="25" width="4.421875" style="0" customWidth="1"/>
    <col min="26" max="26" width="5.421875" style="0" customWidth="1"/>
    <col min="27" max="27" width="7.8515625" style="0" customWidth="1"/>
    <col min="28" max="28" width="7.7109375" style="0" customWidth="1"/>
    <col min="29" max="29" width="7.00390625" style="0" customWidth="1"/>
    <col min="30" max="30" width="6.7109375" style="0" customWidth="1"/>
    <col min="31" max="31" width="6.28125" style="0" customWidth="1"/>
    <col min="32" max="32" width="3.140625" style="0" customWidth="1"/>
    <col min="33" max="33" width="5.28125" style="0" customWidth="1"/>
    <col min="34" max="34" width="5.140625" style="0" customWidth="1"/>
    <col min="35" max="35" width="5.8515625" style="0" customWidth="1"/>
    <col min="36" max="36" width="7.57421875" style="0" customWidth="1"/>
    <col min="37" max="37" width="6.140625" style="0" customWidth="1"/>
    <col min="38" max="38" width="29.28125" style="0" customWidth="1"/>
    <col min="39" max="39" width="6.7109375" style="0" customWidth="1"/>
    <col min="40" max="40" width="24.00390625" style="0" customWidth="1"/>
    <col min="41" max="41" width="6.8515625" style="0" customWidth="1"/>
  </cols>
  <sheetData>
    <row r="1" spans="1:14" ht="12.75" customHeight="1">
      <c r="A1" s="631" t="str">
        <f>1Tепло!A1</f>
        <v>Обьект:Проспект Ленина д.17</v>
      </c>
      <c r="B1" s="631"/>
      <c r="C1" s="6"/>
      <c r="D1" s="6"/>
      <c r="E1" s="6"/>
      <c r="F1" s="6"/>
      <c r="G1" s="887"/>
      <c r="H1" s="6"/>
      <c r="I1" s="887"/>
      <c r="J1" s="887"/>
      <c r="K1" s="888"/>
      <c r="L1" s="6"/>
      <c r="M1" s="889"/>
      <c r="N1" s="6"/>
    </row>
    <row r="2" spans="1:14" ht="12.75" customHeight="1">
      <c r="A2" s="631" t="str">
        <f>1Tепло!A2</f>
        <v>Подобьект: </v>
      </c>
      <c r="B2" s="631"/>
      <c r="C2" s="6"/>
      <c r="D2" s="6"/>
      <c r="E2" s="6"/>
      <c r="F2" s="6"/>
      <c r="G2" s="887"/>
      <c r="H2" s="6"/>
      <c r="I2" s="887"/>
      <c r="J2" s="887"/>
      <c r="K2" s="888"/>
      <c r="L2" s="6"/>
      <c r="M2" s="889"/>
      <c r="N2" s="6"/>
    </row>
    <row r="3" spans="1:14" ht="12.75" customHeight="1">
      <c r="A3" s="631"/>
      <c r="B3" s="631"/>
      <c r="C3" s="601" t="s">
        <v>282</v>
      </c>
      <c r="D3" s="6"/>
      <c r="E3" s="6"/>
      <c r="F3" s="6"/>
      <c r="G3" s="887"/>
      <c r="H3" s="6"/>
      <c r="I3" s="887"/>
      <c r="J3" s="887"/>
      <c r="K3" s="888"/>
      <c r="L3" s="6"/>
      <c r="M3" s="889"/>
      <c r="N3" s="6"/>
    </row>
    <row r="4" spans="1:14" s="109" customFormat="1" ht="12.75" customHeight="1">
      <c r="A4" s="914" t="s">
        <v>283</v>
      </c>
      <c r="B4" s="913" t="str">
        <f>1Tепло!D5</f>
        <v> Наружная стена</v>
      </c>
      <c r="C4"/>
      <c r="D4" s="171"/>
      <c r="E4" s="171"/>
      <c r="F4" s="171"/>
      <c r="G4" s="173"/>
      <c r="H4" s="171"/>
      <c r="I4" s="173"/>
      <c r="J4" s="173"/>
      <c r="K4" s="174"/>
      <c r="L4" s="171"/>
      <c r="M4" s="175"/>
      <c r="N4" s="171"/>
    </row>
    <row r="5" spans="1:14" s="109" customFormat="1" ht="12.75" customHeight="1">
      <c r="A5" s="171"/>
      <c r="B5" s="770" t="s">
        <v>284</v>
      </c>
      <c r="C5" s="6"/>
      <c r="D5" s="171"/>
      <c r="E5" s="171"/>
      <c r="F5" s="171"/>
      <c r="G5" s="173"/>
      <c r="H5" s="171"/>
      <c r="I5" s="173"/>
      <c r="J5" s="173"/>
      <c r="K5" s="174"/>
      <c r="L5" s="171"/>
      <c r="M5" s="175"/>
      <c r="N5" s="171"/>
    </row>
    <row r="6" spans="1:32" ht="12.75" customHeight="1">
      <c r="A6" s="890"/>
      <c r="B6" s="631" t="s">
        <v>285</v>
      </c>
      <c r="C6" s="891">
        <f>2Пар!I16</f>
        <v>18.1</v>
      </c>
      <c r="D6" s="892" t="s">
        <v>286</v>
      </c>
      <c r="E6" s="893"/>
      <c r="F6" s="893"/>
      <c r="G6" s="894"/>
      <c r="H6" s="893"/>
      <c r="I6" s="894"/>
      <c r="J6" s="894"/>
      <c r="K6" s="174"/>
      <c r="L6" s="895"/>
      <c r="M6" s="896"/>
      <c r="N6" s="897"/>
      <c r="O6" s="165"/>
      <c r="P6" s="101"/>
      <c r="Q6" s="102"/>
      <c r="R6" s="102"/>
      <c r="S6" s="102"/>
      <c r="T6" s="102"/>
      <c r="U6" s="103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9" ht="12.75" customHeight="1">
      <c r="A7" s="890"/>
      <c r="B7" s="769" t="s">
        <v>287</v>
      </c>
      <c r="C7" s="891">
        <f>1Tепло!I33</f>
        <v>10.845555555555556</v>
      </c>
      <c r="D7" s="892"/>
      <c r="E7" s="893"/>
      <c r="F7" s="893"/>
      <c r="G7" s="898"/>
      <c r="H7" s="893"/>
      <c r="I7" s="894"/>
      <c r="J7" s="894"/>
      <c r="K7" s="174"/>
      <c r="L7" s="895"/>
      <c r="M7" s="896"/>
      <c r="N7" s="897"/>
      <c r="O7" s="165"/>
      <c r="P7" s="101"/>
      <c r="Q7" s="102"/>
      <c r="R7" s="102"/>
      <c r="S7" s="102"/>
      <c r="T7" s="102"/>
      <c r="U7" s="103"/>
      <c r="V7" s="6"/>
      <c r="W7" s="6"/>
      <c r="X7" s="6"/>
      <c r="Y7" s="6"/>
      <c r="Z7" s="6"/>
      <c r="AA7" s="6"/>
      <c r="AB7" s="6"/>
      <c r="AC7" s="6"/>
      <c r="AD7" s="6"/>
      <c r="AE7" s="6"/>
      <c r="AF7" s="825"/>
      <c r="AG7" s="471"/>
      <c r="AH7" s="471"/>
      <c r="AI7" s="471"/>
      <c r="AJ7" s="471"/>
      <c r="AK7" s="471"/>
      <c r="AL7" s="471"/>
      <c r="AM7" s="471"/>
    </row>
    <row r="8" spans="1:39" ht="12.75" customHeight="1" thickBot="1">
      <c r="A8" s="171"/>
      <c r="B8" s="504" t="s">
        <v>288</v>
      </c>
      <c r="C8" s="6"/>
      <c r="D8" s="171"/>
      <c r="E8" s="6"/>
      <c r="F8" s="171"/>
      <c r="G8" s="173"/>
      <c r="H8" s="171"/>
      <c r="I8" s="173"/>
      <c r="J8" s="173"/>
      <c r="K8" s="174"/>
      <c r="L8" s="171"/>
      <c r="M8" s="175"/>
      <c r="N8" s="176"/>
      <c r="O8" s="176"/>
      <c r="P8" s="44"/>
      <c r="Q8" s="44"/>
      <c r="R8" s="44"/>
      <c r="S8" s="8"/>
      <c r="T8" s="7"/>
      <c r="U8" s="6"/>
      <c r="V8" s="6"/>
      <c r="W8" s="6"/>
      <c r="X8" s="44"/>
      <c r="Y8" s="59"/>
      <c r="Z8" s="59"/>
      <c r="AA8" s="59"/>
      <c r="AB8" s="59"/>
      <c r="AC8" s="59"/>
      <c r="AD8" s="59"/>
      <c r="AE8" s="44"/>
      <c r="AF8" s="825"/>
      <c r="AG8" s="471"/>
      <c r="AH8" s="471"/>
      <c r="AI8" s="471"/>
      <c r="AJ8" s="830"/>
      <c r="AK8" s="471"/>
      <c r="AL8" s="471"/>
      <c r="AM8" s="471"/>
    </row>
    <row r="9" spans="1:39" ht="12.75" customHeight="1" thickBot="1">
      <c r="A9" s="171"/>
      <c r="B9" s="861" t="s">
        <v>289</v>
      </c>
      <c r="C9" s="899" t="s">
        <v>290</v>
      </c>
      <c r="D9" s="862"/>
      <c r="E9" s="6"/>
      <c r="F9" s="953">
        <f>2.5-0.1*(C6-21)</f>
        <v>2.79</v>
      </c>
      <c r="G9" s="900" t="s">
        <v>291</v>
      </c>
      <c r="H9" s="508"/>
      <c r="I9" s="431"/>
      <c r="J9" s="509"/>
      <c r="K9" s="503"/>
      <c r="L9" s="431"/>
      <c r="M9" s="510"/>
      <c r="N9" s="176"/>
      <c r="O9" s="176"/>
      <c r="P9" s="44"/>
      <c r="Q9" s="44"/>
      <c r="R9" s="44"/>
      <c r="S9" s="8"/>
      <c r="T9" s="38"/>
      <c r="U9" s="6"/>
      <c r="V9" s="6"/>
      <c r="W9" s="6"/>
      <c r="X9" s="449"/>
      <c r="Y9" s="60"/>
      <c r="Z9" s="60"/>
      <c r="AA9" s="60"/>
      <c r="AB9" s="60"/>
      <c r="AC9" s="60"/>
      <c r="AD9" s="60"/>
      <c r="AE9" s="44"/>
      <c r="AF9" s="825"/>
      <c r="AG9" s="471"/>
      <c r="AH9" s="471"/>
      <c r="AI9" s="471"/>
      <c r="AJ9" s="471"/>
      <c r="AK9" s="471"/>
      <c r="AL9" s="471"/>
      <c r="AM9" s="471"/>
    </row>
    <row r="10" spans="1:41" ht="12.75" customHeight="1" thickBot="1">
      <c r="A10" s="59"/>
      <c r="B10" s="504" t="s">
        <v>292</v>
      </c>
      <c r="C10" s="6"/>
      <c r="D10" s="6"/>
      <c r="E10" s="6"/>
      <c r="F10" s="6"/>
      <c r="G10" s="431"/>
      <c r="H10" s="431"/>
      <c r="I10" s="6"/>
      <c r="J10" s="511"/>
      <c r="K10" s="503"/>
      <c r="L10" s="504"/>
      <c r="M10" s="510"/>
      <c r="N10" s="176"/>
      <c r="O10" s="176"/>
      <c r="P10" s="44"/>
      <c r="Q10" s="44"/>
      <c r="R10" s="44"/>
      <c r="S10" s="8"/>
      <c r="T10" s="8"/>
      <c r="U10" s="6"/>
      <c r="V10" s="6"/>
      <c r="W10" s="34"/>
      <c r="X10" s="513"/>
      <c r="Y10" s="514"/>
      <c r="Z10" s="515"/>
      <c r="AA10" s="189"/>
      <c r="AB10" s="197"/>
      <c r="AC10" s="60"/>
      <c r="AD10" s="60"/>
      <c r="AE10" s="44"/>
      <c r="AF10" s="825"/>
      <c r="AG10" s="471"/>
      <c r="AH10" s="471"/>
      <c r="AI10" s="471"/>
      <c r="AJ10" s="471"/>
      <c r="AK10" s="471"/>
      <c r="AL10" s="471"/>
      <c r="AM10" s="826"/>
      <c r="AO10" s="531"/>
    </row>
    <row r="11" spans="1:39" ht="12.75" customHeight="1">
      <c r="A11" s="59"/>
      <c r="B11" s="174" t="s">
        <v>293</v>
      </c>
      <c r="C11" s="171" t="s">
        <v>294</v>
      </c>
      <c r="D11" s="6"/>
      <c r="E11" s="6"/>
      <c r="F11" s="901">
        <f>0.5*C12+G12*(C13-G13)/G14</f>
        <v>9.25</v>
      </c>
      <c r="G11" s="892" t="s">
        <v>286</v>
      </c>
      <c r="H11" s="423"/>
      <c r="I11" s="423"/>
      <c r="J11" s="423"/>
      <c r="K11" s="540"/>
      <c r="L11" s="504"/>
      <c r="M11" s="505"/>
      <c r="N11" s="176"/>
      <c r="O11" s="171"/>
      <c r="P11" s="44"/>
      <c r="Q11" s="44"/>
      <c r="R11" s="44"/>
      <c r="S11" s="8"/>
      <c r="T11" s="8"/>
      <c r="U11" s="6"/>
      <c r="V11" s="6"/>
      <c r="W11" s="34"/>
      <c r="X11" s="516"/>
      <c r="Y11" s="77"/>
      <c r="Z11" s="517"/>
      <c r="AA11" s="774" t="s">
        <v>295</v>
      </c>
      <c r="AB11" s="289"/>
      <c r="AC11" s="60"/>
      <c r="AD11" s="60"/>
      <c r="AE11" s="44"/>
      <c r="AF11" s="825"/>
      <c r="AG11" s="471"/>
      <c r="AH11" s="471"/>
      <c r="AI11" s="471"/>
      <c r="AJ11" s="471"/>
      <c r="AK11" s="471"/>
      <c r="AL11" s="471"/>
      <c r="AM11" s="471"/>
    </row>
    <row r="12" spans="1:39" ht="12.75" customHeight="1" thickBot="1">
      <c r="A12" s="6"/>
      <c r="B12" s="174" t="s">
        <v>296</v>
      </c>
      <c r="C12" s="901">
        <f>INDEX(Tab!AF171:AF241,1Tепло!AD28,1)</f>
        <v>18.5</v>
      </c>
      <c r="D12" s="892" t="s">
        <v>286</v>
      </c>
      <c r="E12" s="6"/>
      <c r="F12" s="902" t="s">
        <v>297</v>
      </c>
      <c r="G12" s="631">
        <f>AB14</f>
        <v>0</v>
      </c>
      <c r="H12" s="495"/>
      <c r="I12" s="423"/>
      <c r="J12" s="6"/>
      <c r="K12" s="6"/>
      <c r="L12" s="423"/>
      <c r="M12" s="506"/>
      <c r="N12" s="199"/>
      <c r="P12" s="59"/>
      <c r="Q12" s="59"/>
      <c r="R12" s="59"/>
      <c r="S12" s="59"/>
      <c r="T12" s="59"/>
      <c r="U12" s="59"/>
      <c r="V12" s="59"/>
      <c r="W12" s="34"/>
      <c r="X12" s="518"/>
      <c r="Y12" s="519"/>
      <c r="Z12" s="517"/>
      <c r="AA12" s="775" t="s">
        <v>298</v>
      </c>
      <c r="AB12" s="810"/>
      <c r="AC12" s="521"/>
      <c r="AD12" s="60"/>
      <c r="AE12" s="631"/>
      <c r="AF12" s="823"/>
      <c r="AG12" s="821"/>
      <c r="AH12" s="821"/>
      <c r="AI12" s="821"/>
      <c r="AJ12" s="821"/>
      <c r="AK12" s="821"/>
      <c r="AL12" s="821"/>
      <c r="AM12" s="821"/>
    </row>
    <row r="13" spans="1:39" ht="12.75" customHeight="1">
      <c r="A13" s="6"/>
      <c r="B13" s="209" t="s">
        <v>299</v>
      </c>
      <c r="C13" s="631">
        <f>IF(1Tепло!AB28=1,3Тепуст!AB17)+IF(1Tепло!AB28=2,3Тепуст!AC17)</f>
        <v>786</v>
      </c>
      <c r="D13" s="631" t="s">
        <v>300</v>
      </c>
      <c r="E13" s="6"/>
      <c r="F13" s="209" t="s">
        <v>301</v>
      </c>
      <c r="G13" s="631">
        <f>IF(1Tепло!AB28=1,3Тепуст!AB18)+IF(1Tепло!AB28=2,3Тепуст!AC18)</f>
        <v>201</v>
      </c>
      <c r="H13" s="631" t="s">
        <v>300</v>
      </c>
      <c r="I13" s="423"/>
      <c r="J13" s="203"/>
      <c r="K13" s="6"/>
      <c r="L13" s="6"/>
      <c r="M13" s="460"/>
      <c r="N13" s="199"/>
      <c r="P13" s="59"/>
      <c r="Q13" s="59"/>
      <c r="R13" s="59"/>
      <c r="S13" s="59"/>
      <c r="T13" s="59"/>
      <c r="U13" s="59"/>
      <c r="V13" s="59"/>
      <c r="W13" s="34"/>
      <c r="X13" s="516"/>
      <c r="Y13" s="77"/>
      <c r="Z13" s="64"/>
      <c r="AA13" s="812" t="s">
        <v>302</v>
      </c>
      <c r="AB13" s="813">
        <f>IF(AND(1Tепло!E22&gt;0,1Tепло!E20&gt;0),1Tепло!Z22)+IF(AND(1Tепло!E22=0,1Tепло!E20&gt;0),1Tепло!Z20)+IF(AND(1Tепло!E20=0,1Tепло!E19&gt;0),1Tепло!Z19)+IF(AND(1Tепло!E19=0,1Tепло!E18&gt;0),1Tепло!Z18)+IF(AND(1Tепло!E18=0,1Tепло!E17&gt;0),1Tепло!Z17)</f>
        <v>0</v>
      </c>
      <c r="AC13" s="60"/>
      <c r="AD13" s="60"/>
      <c r="AE13" s="631"/>
      <c r="AF13" s="823"/>
      <c r="AG13" s="821"/>
      <c r="AH13" s="822"/>
      <c r="AI13" s="822"/>
      <c r="AJ13" s="822"/>
      <c r="AK13" s="822"/>
      <c r="AL13" s="822"/>
      <c r="AM13" s="822"/>
    </row>
    <row r="14" spans="1:41" s="109" customFormat="1" ht="12.75" customHeight="1" thickBot="1">
      <c r="A14" s="6"/>
      <c r="B14" s="903" t="s">
        <v>303</v>
      </c>
      <c r="C14" s="631">
        <f>INDEX(Tab!AK171:AK227,1Tепло!AD28,1)</f>
        <v>4.9</v>
      </c>
      <c r="D14" s="631" t="s">
        <v>304</v>
      </c>
      <c r="E14" s="6"/>
      <c r="F14" s="533" t="s">
        <v>305</v>
      </c>
      <c r="G14" s="856">
        <f>1.16*(5+10*(C14)^0.5)</f>
        <v>31.477694600567236</v>
      </c>
      <c r="H14" s="495"/>
      <c r="I14" s="423"/>
      <c r="J14" s="205"/>
      <c r="K14" s="6"/>
      <c r="L14" s="6"/>
      <c r="M14" s="383"/>
      <c r="N14" s="515"/>
      <c r="P14" s="171"/>
      <c r="Q14" s="171"/>
      <c r="R14" s="171"/>
      <c r="S14" s="171"/>
      <c r="T14" s="171"/>
      <c r="U14" s="171"/>
      <c r="V14" s="171"/>
      <c r="W14" s="496"/>
      <c r="X14" s="431"/>
      <c r="Y14" s="431"/>
      <c r="Z14" s="515"/>
      <c r="AA14" s="811" t="s">
        <v>306</v>
      </c>
      <c r="AB14" s="814">
        <f>INDEX(Tab!N2:N117,AB13,1)</f>
        <v>0</v>
      </c>
      <c r="AC14" s="176"/>
      <c r="AD14" s="176"/>
      <c r="AE14" s="631"/>
      <c r="AF14" s="823"/>
      <c r="AG14" s="821"/>
      <c r="AH14" s="824"/>
      <c r="AI14" s="824"/>
      <c r="AJ14" s="824"/>
      <c r="AK14" s="824"/>
      <c r="AL14" s="824"/>
      <c r="AM14" s="824"/>
      <c r="AN14" s="3"/>
      <c r="AO14" s="126"/>
    </row>
    <row r="15" spans="1:41" ht="12.75" customHeight="1" thickBot="1">
      <c r="A15" s="59"/>
      <c r="B15" s="504" t="s">
        <v>307</v>
      </c>
      <c r="C15" s="6"/>
      <c r="D15" s="904"/>
      <c r="E15" s="541"/>
      <c r="F15" s="905"/>
      <c r="G15" s="423"/>
      <c r="H15" s="423"/>
      <c r="I15" s="423"/>
      <c r="J15" s="205"/>
      <c r="K15" s="6"/>
      <c r="L15" s="6"/>
      <c r="M15" s="6"/>
      <c r="N15" s="201"/>
      <c r="P15" s="59"/>
      <c r="Q15" s="59"/>
      <c r="R15" s="59"/>
      <c r="S15" s="59"/>
      <c r="T15" s="59"/>
      <c r="U15" s="59"/>
      <c r="V15" s="59"/>
      <c r="W15" s="6"/>
      <c r="X15" s="6"/>
      <c r="Y15" s="6"/>
      <c r="Z15" s="14"/>
      <c r="AD15" s="6"/>
      <c r="AE15" s="631"/>
      <c r="AF15" s="632"/>
      <c r="AG15" s="821"/>
      <c r="AH15" s="821"/>
      <c r="AI15" s="821"/>
      <c r="AJ15" s="821"/>
      <c r="AK15" s="821"/>
      <c r="AL15" s="499"/>
      <c r="AM15" s="499"/>
      <c r="AN15" s="3"/>
      <c r="AO15" s="3"/>
    </row>
    <row r="16" spans="1:37" ht="12.75" customHeight="1" thickBot="1">
      <c r="A16" s="59"/>
      <c r="B16" s="861" t="s">
        <v>308</v>
      </c>
      <c r="C16" s="862" t="s">
        <v>309</v>
      </c>
      <c r="D16" s="912">
        <f>F11/C20</f>
        <v>0.002879651019552469</v>
      </c>
      <c r="E16" s="900" t="s">
        <v>291</v>
      </c>
      <c r="F16" s="6"/>
      <c r="G16" s="6"/>
      <c r="H16" s="6"/>
      <c r="I16" s="6"/>
      <c r="J16" s="6"/>
      <c r="K16" s="6"/>
      <c r="L16" s="6"/>
      <c r="M16" s="6"/>
      <c r="N16" s="60"/>
      <c r="O16" s="59"/>
      <c r="P16" s="59"/>
      <c r="Q16" s="59"/>
      <c r="R16" s="59"/>
      <c r="S16" s="59"/>
      <c r="T16" s="59"/>
      <c r="U16" s="59"/>
      <c r="V16" s="59"/>
      <c r="W16" s="6"/>
      <c r="X16" s="6"/>
      <c r="Y16" s="6"/>
      <c r="Z16" s="14"/>
      <c r="AA16" s="620"/>
      <c r="AB16" s="238" t="s">
        <v>310</v>
      </c>
      <c r="AC16" s="817" t="s">
        <v>311</v>
      </c>
      <c r="AD16" s="6"/>
      <c r="AE16" s="631"/>
      <c r="AF16" s="632"/>
      <c r="AG16" s="822"/>
      <c r="AH16" s="829"/>
      <c r="AI16" s="821"/>
      <c r="AJ16" s="821"/>
      <c r="AK16" s="821"/>
    </row>
    <row r="17" spans="1:37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0"/>
      <c r="O17" s="59"/>
      <c r="P17" s="59"/>
      <c r="Q17" s="59"/>
      <c r="R17" s="59"/>
      <c r="S17" s="59"/>
      <c r="T17" s="59"/>
      <c r="U17" s="59"/>
      <c r="V17" s="59"/>
      <c r="W17" s="6"/>
      <c r="X17" s="6"/>
      <c r="Y17" s="6"/>
      <c r="Z17" s="14"/>
      <c r="AA17" s="815" t="s">
        <v>299</v>
      </c>
      <c r="AB17" s="818">
        <f>INDEX(Tab!AG171:AG241,1Tепло!AD28,1)</f>
        <v>786</v>
      </c>
      <c r="AC17" s="818">
        <f>INDEX(Tab!AI171:AI241,1Tепло!AD28,1)</f>
        <v>817</v>
      </c>
      <c r="AD17" s="6"/>
      <c r="AE17" s="631"/>
      <c r="AF17" s="632"/>
      <c r="AG17" s="821"/>
      <c r="AH17" s="471"/>
      <c r="AI17" s="471"/>
      <c r="AJ17" s="471"/>
      <c r="AK17" s="471"/>
    </row>
    <row r="18" spans="1:37" ht="12.75" customHeight="1" thickBot="1">
      <c r="A18" s="6"/>
      <c r="B18" s="631" t="s">
        <v>312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6"/>
      <c r="N18" s="59"/>
      <c r="O18" s="59"/>
      <c r="P18" s="59"/>
      <c r="Q18" s="59"/>
      <c r="R18" s="59"/>
      <c r="S18" s="59"/>
      <c r="T18" s="59"/>
      <c r="U18" s="59"/>
      <c r="V18" s="59"/>
      <c r="W18" s="6"/>
      <c r="X18" s="522"/>
      <c r="Y18" s="522"/>
      <c r="Z18" s="522"/>
      <c r="AA18" s="816" t="s">
        <v>301</v>
      </c>
      <c r="AB18" s="820">
        <f>INDEX(Tab!AH171:AH241,1Tепло!AD28,1)</f>
        <v>201</v>
      </c>
      <c r="AC18" s="819">
        <f>INDEX(Tab!AJ171:AJ241,1Tепло!AD28,1)</f>
        <v>327</v>
      </c>
      <c r="AD18" s="6"/>
      <c r="AE18" s="631"/>
      <c r="AF18" s="632"/>
      <c r="AG18" s="471"/>
      <c r="AH18" s="630"/>
      <c r="AI18" s="821"/>
      <c r="AJ18" s="821"/>
      <c r="AK18" s="821"/>
    </row>
    <row r="19" spans="1:41" s="109" customFormat="1" ht="12" customHeight="1">
      <c r="A19" s="6"/>
      <c r="B19" s="888"/>
      <c r="C19" s="954"/>
      <c r="D19" s="6"/>
      <c r="E19" s="6"/>
      <c r="F19" s="6"/>
      <c r="G19" s="6"/>
      <c r="H19" s="6"/>
      <c r="I19" s="6"/>
      <c r="J19" s="6"/>
      <c r="K19" s="6"/>
      <c r="L19" s="6"/>
      <c r="M19" s="6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6"/>
      <c r="Y19" s="176"/>
      <c r="Z19" s="176"/>
      <c r="AA19" s="176"/>
      <c r="AB19" s="176"/>
      <c r="AC19" s="176"/>
      <c r="AD19" s="171"/>
      <c r="AE19" s="631"/>
      <c r="AF19" s="632"/>
      <c r="AG19" s="821"/>
      <c r="AH19" s="630"/>
      <c r="AI19" s="471"/>
      <c r="AJ19" s="471"/>
      <c r="AK19" s="471"/>
      <c r="AL19"/>
      <c r="AM19"/>
      <c r="AN19"/>
      <c r="AO19"/>
    </row>
    <row r="20" spans="1:41" s="109" customFormat="1" ht="12.75" customHeight="1">
      <c r="A20" s="6"/>
      <c r="B20" s="902" t="s">
        <v>313</v>
      </c>
      <c r="C20" s="955">
        <f>IF(D30&gt;0,AO30)+IF(AND(D30=0,D28&gt;0),AO28)+IF(AND(D28=0,D27&gt;0),AO27)+IF(AND(D27=0,D26&gt;0),AO26)+IF(AND(D26=0,D25&gt;0),AO25)+IF(AND(D25=0,D24&gt;0),AO24)</f>
        <v>3212.1947892969188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203"/>
      <c r="O20" s="203"/>
      <c r="P20" s="203"/>
      <c r="Q20" s="203"/>
      <c r="R20" s="203"/>
      <c r="S20" s="203"/>
      <c r="T20" s="171"/>
      <c r="U20" s="171"/>
      <c r="V20" s="171"/>
      <c r="W20" s="171"/>
      <c r="X20" s="176"/>
      <c r="Y20" s="176"/>
      <c r="Z20" s="176"/>
      <c r="AA20" s="176"/>
      <c r="AB20" s="176"/>
      <c r="AC20" s="176"/>
      <c r="AD20" s="171"/>
      <c r="AE20" s="631"/>
      <c r="AF20" s="631"/>
      <c r="AG20" s="821"/>
      <c r="AH20" s="630"/>
      <c r="AI20" s="471"/>
      <c r="AJ20" s="471"/>
      <c r="AK20" s="471"/>
      <c r="AL20"/>
      <c r="AM20"/>
      <c r="AN20"/>
      <c r="AO20"/>
    </row>
    <row r="21" spans="1:41" s="109" customFormat="1" ht="12.75" customHeight="1">
      <c r="A21" s="6"/>
      <c r="B21" s="916"/>
      <c r="C21" s="6"/>
      <c r="D21" s="6"/>
      <c r="E21" s="6"/>
      <c r="F21" s="6"/>
      <c r="G21" s="6"/>
      <c r="H21" s="6"/>
      <c r="I21" s="6"/>
      <c r="J21" s="6"/>
      <c r="K21" s="6"/>
      <c r="L21" s="6"/>
      <c r="M21" s="536"/>
      <c r="N21" s="203"/>
      <c r="O21" s="203"/>
      <c r="P21" s="203"/>
      <c r="Q21" s="203"/>
      <c r="R21" s="203"/>
      <c r="S21" s="203"/>
      <c r="T21" s="171"/>
      <c r="U21" s="171"/>
      <c r="V21" s="171"/>
      <c r="W21" s="171"/>
      <c r="X21" s="176"/>
      <c r="Y21" s="176"/>
      <c r="Z21" s="176"/>
      <c r="AA21" s="176"/>
      <c r="AB21" s="176"/>
      <c r="AC21" s="176"/>
      <c r="AD21" s="171"/>
      <c r="AE21" s="631"/>
      <c r="AF21" s="631"/>
      <c r="AG21" s="821"/>
      <c r="AH21" s="630"/>
      <c r="AI21" s="821"/>
      <c r="AJ21" s="821"/>
      <c r="AK21" s="821"/>
      <c r="AL21"/>
      <c r="AM21"/>
      <c r="AN21"/>
      <c r="AO21"/>
    </row>
    <row r="22" spans="1:41" s="109" customFormat="1" ht="12.75" customHeight="1" thickBot="1">
      <c r="A22" s="59"/>
      <c r="B22" s="917" t="s">
        <v>314</v>
      </c>
      <c r="C22" s="257" t="s">
        <v>315</v>
      </c>
      <c r="D22" s="71" t="s">
        <v>29</v>
      </c>
      <c r="E22" s="918" t="s">
        <v>316</v>
      </c>
      <c r="F22" s="906" t="s">
        <v>317</v>
      </c>
      <c r="G22" s="906" t="s">
        <v>318</v>
      </c>
      <c r="H22" s="906" t="s">
        <v>319</v>
      </c>
      <c r="I22" s="75"/>
      <c r="J22" s="75"/>
      <c r="K22" s="6"/>
      <c r="L22" s="6"/>
      <c r="M22" s="545"/>
      <c r="N22" s="203"/>
      <c r="O22" s="203"/>
      <c r="P22" s="203"/>
      <c r="Q22" s="203"/>
      <c r="R22" s="203"/>
      <c r="S22" s="203"/>
      <c r="T22" s="171"/>
      <c r="U22" s="171"/>
      <c r="V22" s="171"/>
      <c r="W22" s="171"/>
      <c r="X22" s="176"/>
      <c r="Y22" s="176"/>
      <c r="Z22" s="176"/>
      <c r="AA22" s="176"/>
      <c r="AB22" s="176"/>
      <c r="AC22" s="176"/>
      <c r="AD22" s="171"/>
      <c r="AE22" s="631"/>
      <c r="AF22" s="631"/>
      <c r="AG22" s="821"/>
      <c r="AH22" s="630"/>
      <c r="AI22" s="821"/>
      <c r="AJ22" s="821"/>
      <c r="AK22" s="821"/>
      <c r="AL22"/>
      <c r="AM22"/>
      <c r="AN22"/>
      <c r="AO22"/>
    </row>
    <row r="23" spans="1:41" ht="12.75" customHeight="1" thickBot="1">
      <c r="A23" s="602" t="s">
        <v>212</v>
      </c>
      <c r="B23" s="6"/>
      <c r="C23" s="915" t="s">
        <v>320</v>
      </c>
      <c r="D23" s="907" t="s">
        <v>321</v>
      </c>
      <c r="E23" s="203" t="s">
        <v>322</v>
      </c>
      <c r="F23" s="418"/>
      <c r="G23" s="631"/>
      <c r="H23" s="203"/>
      <c r="I23" s="75"/>
      <c r="J23" s="75"/>
      <c r="K23" s="6"/>
      <c r="L23" s="60"/>
      <c r="M23" s="545"/>
      <c r="N23" s="70"/>
      <c r="O23" s="70"/>
      <c r="P23" s="70"/>
      <c r="Q23" s="70"/>
      <c r="R23" s="70"/>
      <c r="S23" s="70"/>
      <c r="T23" s="59"/>
      <c r="U23" s="59"/>
      <c r="V23" s="59"/>
      <c r="W23" s="6"/>
      <c r="X23" s="522"/>
      <c r="Y23" s="205"/>
      <c r="Z23" s="3"/>
      <c r="AA23" s="524"/>
      <c r="AB23" s="525"/>
      <c r="AC23" s="526"/>
      <c r="AE23" s="635" t="s">
        <v>323</v>
      </c>
      <c r="AF23" s="498"/>
      <c r="AG23" s="821"/>
      <c r="AH23" s="630"/>
      <c r="AI23" s="821"/>
      <c r="AJ23" s="821"/>
      <c r="AK23" s="821"/>
      <c r="AL23" s="831" t="s">
        <v>324</v>
      </c>
      <c r="AM23" s="832" t="s">
        <v>325</v>
      </c>
      <c r="AN23" s="836" t="s">
        <v>326</v>
      </c>
      <c r="AO23" s="833" t="s">
        <v>327</v>
      </c>
    </row>
    <row r="24" spans="1:41" s="9" customFormat="1" ht="12.75" customHeight="1">
      <c r="A24" s="70">
        <v>1</v>
      </c>
      <c r="B24" s="586" t="str">
        <f>1Tепло!B16</f>
        <v>Сосна и ель(поперек волок.)</v>
      </c>
      <c r="C24" s="501">
        <f>1Tепло!D16</f>
        <v>430</v>
      </c>
      <c r="D24" s="919">
        <f>1Tепло!F16</f>
        <v>4.54</v>
      </c>
      <c r="E24" s="706">
        <f>1Tепло!E27</f>
        <v>2.388888888888889</v>
      </c>
      <c r="F24" s="908">
        <f aca="true" t="shared" si="0" ref="F24:F30">D24*E24</f>
        <v>10.845555555555556</v>
      </c>
      <c r="G24" s="920">
        <f>F24</f>
        <v>10.845555555555556</v>
      </c>
      <c r="H24" s="921">
        <f>AM24</f>
        <v>4.54</v>
      </c>
      <c r="I24" s="908"/>
      <c r="J24" s="75"/>
      <c r="K24" s="544"/>
      <c r="L24" s="176"/>
      <c r="M24" s="203"/>
      <c r="N24" s="70"/>
      <c r="O24" s="70"/>
      <c r="P24" s="70"/>
      <c r="Q24" s="70"/>
      <c r="R24" s="70"/>
      <c r="S24" s="70"/>
      <c r="T24" s="70"/>
      <c r="U24" s="70"/>
      <c r="V24" s="70"/>
      <c r="W24" s="23"/>
      <c r="X24" s="50"/>
      <c r="Y24" s="50"/>
      <c r="Z24" s="216"/>
      <c r="AA24" s="208"/>
      <c r="AB24" s="205"/>
      <c r="AC24" s="50"/>
      <c r="AD24"/>
      <c r="AE24"/>
      <c r="AF24" s="47"/>
      <c r="AG24" s="523"/>
      <c r="AH24" s="471"/>
      <c r="AI24" s="471"/>
      <c r="AJ24" s="471"/>
      <c r="AK24" s="471"/>
      <c r="AL24" s="849" t="s">
        <v>328</v>
      </c>
      <c r="AM24" s="852">
        <f>IF(F24&gt;=1,D24)+IF(F24&lt;1,(E24*(D24^2)+8.7)/(1+E24*8.7))</f>
        <v>4.54</v>
      </c>
      <c r="AN24" s="834" t="s">
        <v>329</v>
      </c>
      <c r="AO24" s="502">
        <f>0.9*(2.718)^(C7/2^0.5)*(D24+8.7)*(G14+AM24)/((D24+AM24)*G14)</f>
        <v>3212.1947892969188</v>
      </c>
    </row>
    <row r="25" spans="1:41" s="9" customFormat="1" ht="12.75" customHeight="1">
      <c r="A25" s="70">
        <v>2</v>
      </c>
      <c r="B25" s="866" t="str">
        <f>1Tепло!B17</f>
        <v>  -- ПУСТО --</v>
      </c>
      <c r="C25" s="501">
        <f>1Tепло!D17</f>
        <v>0</v>
      </c>
      <c r="D25" s="919">
        <f>1Tепло!F17</f>
        <v>0</v>
      </c>
      <c r="E25" s="706">
        <f>1Tепло!G27</f>
        <v>0</v>
      </c>
      <c r="F25" s="908">
        <f t="shared" si="0"/>
        <v>0</v>
      </c>
      <c r="G25" s="920">
        <f>G24+F25</f>
        <v>10.845555555555556</v>
      </c>
      <c r="H25" s="921">
        <f aca="true" t="shared" si="1" ref="H25:H30">IF(E25=0,0)+IF(E25&gt;0,AM25)</f>
        <v>0</v>
      </c>
      <c r="I25" s="908"/>
      <c r="J25" s="205"/>
      <c r="K25" s="208"/>
      <c r="L25" s="205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3"/>
      <c r="X25" s="50"/>
      <c r="Y25" s="50"/>
      <c r="Z25" s="216"/>
      <c r="AA25" s="208"/>
      <c r="AB25" s="205"/>
      <c r="AC25" s="50"/>
      <c r="AD25"/>
      <c r="AE25"/>
      <c r="AF25" s="47"/>
      <c r="AG25" s="53"/>
      <c r="AH25" s="630"/>
      <c r="AI25" s="499"/>
      <c r="AJ25" s="499"/>
      <c r="AK25" s="499"/>
      <c r="AL25" s="850" t="s">
        <v>330</v>
      </c>
      <c r="AM25" s="853">
        <f>IF(F25&gt;=1,D25)+IF(F25&lt;1,(E25*(D25^2)+AM24)/(1+E25*AM24))</f>
        <v>4.54</v>
      </c>
      <c r="AN25" s="837" t="s">
        <v>331</v>
      </c>
      <c r="AO25" s="838">
        <f>0.9*(2.718)^(C7/2^0.5)*(D24+8.7)*(D25+AM24)*(G14+AM25)/((D24+AM24)*(D25+AM25)*G14)</f>
        <v>3212.194789296919</v>
      </c>
    </row>
    <row r="26" spans="1:41" s="501" customFormat="1" ht="12.75" customHeight="1">
      <c r="A26" s="75">
        <v>3</v>
      </c>
      <c r="B26" s="866" t="str">
        <f>1Tепло!B18</f>
        <v>  -- ПУСТО --</v>
      </c>
      <c r="C26" s="501">
        <f>1Tепло!D18</f>
        <v>0</v>
      </c>
      <c r="D26" s="919">
        <f>1Tепло!F18</f>
        <v>0</v>
      </c>
      <c r="E26" s="706">
        <f>1Tепло!I27</f>
        <v>0</v>
      </c>
      <c r="F26" s="908">
        <f t="shared" si="0"/>
        <v>0</v>
      </c>
      <c r="G26" s="920">
        <f>G25+F26</f>
        <v>10.845555555555556</v>
      </c>
      <c r="H26" s="921">
        <f t="shared" si="1"/>
        <v>0</v>
      </c>
      <c r="I26" s="908"/>
      <c r="J26" s="205"/>
      <c r="K26" s="208"/>
      <c r="L26" s="205"/>
      <c r="M26" s="556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3"/>
      <c r="Y26" s="603"/>
      <c r="Z26" s="696"/>
      <c r="AA26" s="697"/>
      <c r="AB26" s="603"/>
      <c r="AC26" s="603"/>
      <c r="AD26" s="498"/>
      <c r="AE26" s="498"/>
      <c r="AF26" s="602"/>
      <c r="AG26" s="698"/>
      <c r="AH26" s="630"/>
      <c r="AI26" s="3"/>
      <c r="AJ26" s="3"/>
      <c r="AK26" s="3"/>
      <c r="AL26" s="850" t="s">
        <v>332</v>
      </c>
      <c r="AM26" s="853">
        <f>IF(F26&gt;=1,D26)+IF(F26&lt;1,(E26*(D26^2)+AM25)/(1+E26*AM25))</f>
        <v>4.54</v>
      </c>
      <c r="AN26" s="837" t="s">
        <v>333</v>
      </c>
      <c r="AO26" s="838">
        <f>0.9*(2.718)^(C7/2^0.5)*(D24+8.7)*(D25+AM24)*(D26+AM25)*(G14+AM26)/((D24+AM24)*(D25+AM25)*(D26+AM26)*G14)</f>
        <v>3212.194789296919</v>
      </c>
    </row>
    <row r="27" spans="1:41" s="501" customFormat="1" ht="12.75" customHeight="1">
      <c r="A27" s="75">
        <v>4</v>
      </c>
      <c r="B27" s="866" t="str">
        <f>1Tепло!B19</f>
        <v>  -- ПУСТО --</v>
      </c>
      <c r="C27" s="501">
        <f>1Tепло!D19</f>
        <v>0</v>
      </c>
      <c r="D27" s="919">
        <f>1Tепло!F19</f>
        <v>0</v>
      </c>
      <c r="E27" s="706">
        <f>1Tепло!K27</f>
        <v>0</v>
      </c>
      <c r="F27" s="908">
        <f t="shared" si="0"/>
        <v>0</v>
      </c>
      <c r="G27" s="920">
        <f>IF(D27=0,0)+IF(D27&gt;0,(G26+F27))</f>
        <v>0</v>
      </c>
      <c r="H27" s="921">
        <f t="shared" si="1"/>
        <v>0</v>
      </c>
      <c r="I27" s="908"/>
      <c r="J27" s="205"/>
      <c r="K27" s="208"/>
      <c r="L27" s="203"/>
      <c r="M27" s="556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3"/>
      <c r="Y27" s="603"/>
      <c r="Z27" s="696"/>
      <c r="AA27" s="697"/>
      <c r="AB27" s="603"/>
      <c r="AC27" s="603"/>
      <c r="AD27" s="498"/>
      <c r="AE27" s="498"/>
      <c r="AF27" s="602"/>
      <c r="AG27" s="698"/>
      <c r="AH27" s="630"/>
      <c r="AI27" s="3"/>
      <c r="AJ27" s="3"/>
      <c r="AK27" s="3"/>
      <c r="AL27" s="850" t="s">
        <v>334</v>
      </c>
      <c r="AM27" s="853">
        <f>IF(F27&gt;=1,D27)+IF(F27&lt;1,(E27*(D27^2)+AM26)/(1+E27*AM26))</f>
        <v>4.54</v>
      </c>
      <c r="AN27" s="837" t="s">
        <v>335</v>
      </c>
      <c r="AO27" s="838">
        <f>0.9*(2.718)^(C7/2^0.5)*(D24+8.7)*(D25+AM24)*(D26+AM25)*(D27+AM26)*(G14+AM27)/((D24+AM24)*(D25+AM25)*(D26+AM26)*(D27+AM27)*G14)</f>
        <v>3212.194789296919</v>
      </c>
    </row>
    <row r="28" spans="1:41" s="698" customFormat="1" ht="12.75" customHeight="1">
      <c r="A28" s="75">
        <v>5</v>
      </c>
      <c r="B28" s="628" t="str">
        <f>1Tепло!B20</f>
        <v>  -- ПУСТО --</v>
      </c>
      <c r="C28" s="501">
        <f>1Tепло!D20</f>
        <v>0</v>
      </c>
      <c r="D28" s="919">
        <f>1Tепло!F20</f>
        <v>0</v>
      </c>
      <c r="E28" s="706">
        <f>1Tепло!M27</f>
        <v>0</v>
      </c>
      <c r="F28" s="908">
        <f t="shared" si="0"/>
        <v>0</v>
      </c>
      <c r="G28" s="920">
        <f>IF(D28=0,0)+IF(D28&gt;0,(G27+F28))</f>
        <v>0</v>
      </c>
      <c r="H28" s="921">
        <f t="shared" si="1"/>
        <v>0</v>
      </c>
      <c r="I28" s="908"/>
      <c r="J28" s="203"/>
      <c r="K28" s="206"/>
      <c r="L28" s="70"/>
      <c r="M28" s="695"/>
      <c r="N28" s="602"/>
      <c r="O28" s="602"/>
      <c r="P28" s="602"/>
      <c r="Q28" s="603"/>
      <c r="R28" s="603"/>
      <c r="S28" s="603"/>
      <c r="T28" s="603"/>
      <c r="U28" s="603"/>
      <c r="V28" s="603"/>
      <c r="W28" s="603"/>
      <c r="X28" s="603"/>
      <c r="Y28" s="603"/>
      <c r="Z28" s="696"/>
      <c r="AA28" s="697"/>
      <c r="AB28" s="603"/>
      <c r="AC28" s="603"/>
      <c r="AD28" s="498" t="s">
        <v>0</v>
      </c>
      <c r="AE28" s="498"/>
      <c r="AF28" s="603"/>
      <c r="AH28" s="499"/>
      <c r="AI28" s="499"/>
      <c r="AJ28" s="499"/>
      <c r="AK28" s="499"/>
      <c r="AL28" s="850" t="s">
        <v>336</v>
      </c>
      <c r="AM28" s="853">
        <f>IF(F28&gt;=1,D28)+IF(F28&lt;1,(E28*(D28^2)+AM27)/(1+E28*AM27))</f>
        <v>4.54</v>
      </c>
      <c r="AN28" s="837" t="s">
        <v>337</v>
      </c>
      <c r="AO28" s="838">
        <f>0.9*(2.718)^(C7/2^0.5)*(D24+8.7)*(D25+AM24)*(D26+AM25)*(D27+AM26)*(D28+AM27)*(G14+AM28)/((D24+AM24)*(D25+AM25)*(D26+AM26)*(D27+AM27)*(D28+AM28)*G14)</f>
        <v>3212.1947892969197</v>
      </c>
    </row>
    <row r="29" spans="1:41" s="698" customFormat="1" ht="12.75" customHeight="1">
      <c r="A29" s="75">
        <v>6</v>
      </c>
      <c r="B29" s="628" t="str">
        <f>1Tепло!B21</f>
        <v>  -- ПУСТО --</v>
      </c>
      <c r="C29" s="501">
        <f>1Tепло!D21</f>
        <v>0</v>
      </c>
      <c r="D29" s="919">
        <f>1Tепло!F21</f>
        <v>0</v>
      </c>
      <c r="E29" s="706">
        <f>1Tепло!O27</f>
        <v>0</v>
      </c>
      <c r="F29" s="908">
        <f>D29*E29</f>
        <v>0</v>
      </c>
      <c r="G29" s="920">
        <f>IF(D29=0,0)+IF(D29&gt;0,(G28+F29))</f>
        <v>0</v>
      </c>
      <c r="H29" s="921">
        <f t="shared" si="1"/>
        <v>0</v>
      </c>
      <c r="I29" s="908"/>
      <c r="J29" s="203"/>
      <c r="K29" s="206"/>
      <c r="L29" s="70"/>
      <c r="M29" s="695"/>
      <c r="N29" s="602"/>
      <c r="O29" s="602"/>
      <c r="P29" s="602"/>
      <c r="Q29" s="603"/>
      <c r="R29" s="603"/>
      <c r="S29" s="603"/>
      <c r="T29" s="603"/>
      <c r="U29" s="603"/>
      <c r="V29" s="603"/>
      <c r="W29" s="603"/>
      <c r="X29" s="603"/>
      <c r="Y29" s="603"/>
      <c r="Z29" s="696"/>
      <c r="AA29" s="697"/>
      <c r="AB29" s="603"/>
      <c r="AC29" s="603"/>
      <c r="AD29" s="498" t="s">
        <v>0</v>
      </c>
      <c r="AE29" s="498"/>
      <c r="AF29" s="603"/>
      <c r="AH29" s="499"/>
      <c r="AI29" s="499"/>
      <c r="AJ29" s="499"/>
      <c r="AK29" s="499"/>
      <c r="AL29" s="850" t="s">
        <v>336</v>
      </c>
      <c r="AM29" s="853">
        <f>IF(F29&gt;=1,D29)+IF(F29&lt;1,(E29*(D29^2)+AM28)/(1+E29*AM28))</f>
        <v>4.54</v>
      </c>
      <c r="AN29" s="837" t="s">
        <v>337</v>
      </c>
      <c r="AO29" s="838" t="e">
        <f>0.9*(2.718)^(C8/2^0.5)*(D25+8.7)*(D26+AM25)*(D27+AM26)*(D28+AM27)*(D29+AM28)*(G15+AM29)/((D25+AM25)*(D26+AM26)*(D27+AM27)*(D28+AM28)*(D29+AM29)*G15)</f>
        <v>#DIV/0!</v>
      </c>
    </row>
    <row r="30" spans="1:41" s="698" customFormat="1" ht="12.75" customHeight="1" thickBot="1">
      <c r="A30" s="75">
        <v>7</v>
      </c>
      <c r="B30" s="587" t="str">
        <f>1Tепло!B22</f>
        <v>  -- ПУСТО --</v>
      </c>
      <c r="C30" s="501">
        <f>1Tепло!D22</f>
        <v>0</v>
      </c>
      <c r="D30" s="919">
        <f>1Tепло!F22</f>
        <v>0</v>
      </c>
      <c r="E30" s="706">
        <f>1Tепло!Q27</f>
        <v>0</v>
      </c>
      <c r="F30" s="923">
        <f t="shared" si="0"/>
        <v>0</v>
      </c>
      <c r="G30" s="920">
        <f>IF(D30=0,0)+IF(D30&gt;0,(G29+F30))</f>
        <v>0</v>
      </c>
      <c r="H30" s="921">
        <f t="shared" si="1"/>
        <v>0</v>
      </c>
      <c r="I30" s="908"/>
      <c r="J30" s="551"/>
      <c r="K30" s="552"/>
      <c r="L30" s="70"/>
      <c r="M30" s="602"/>
      <c r="N30" s="709"/>
      <c r="O30" s="709"/>
      <c r="P30" s="709"/>
      <c r="Q30" s="709"/>
      <c r="R30" s="603"/>
      <c r="S30" s="603"/>
      <c r="T30" s="603"/>
      <c r="U30" s="603"/>
      <c r="V30" s="603"/>
      <c r="W30" s="603"/>
      <c r="X30" s="603"/>
      <c r="Y30" s="603"/>
      <c r="Z30" s="696"/>
      <c r="AA30" s="697"/>
      <c r="AB30" s="603"/>
      <c r="AC30" s="603"/>
      <c r="AD30" s="498"/>
      <c r="AE30" s="498"/>
      <c r="AF30" s="603"/>
      <c r="AH30" s="630"/>
      <c r="AI30" s="499"/>
      <c r="AJ30" s="499"/>
      <c r="AK30" s="499"/>
      <c r="AL30" s="851" t="s">
        <v>338</v>
      </c>
      <c r="AM30" s="854">
        <f>IF(F30&gt;=1,D30)+IF(F30&lt;1,(E30*(D30^2)+AM28)/(1+E30*AM28))</f>
        <v>4.54</v>
      </c>
      <c r="AN30" s="835" t="s">
        <v>339</v>
      </c>
      <c r="AO30" s="839">
        <f>0.9*(2.718)^(C7/2^0.5)*(D24+8.7)*(D25+AM24)*(D26+AM25)*(D27+AM26)*(D28+AM27)*(D30+AM28)*(G14+AM30)/((D24+AM24)*(D25+AM25)*(D26+AM26)*(D27+AM27)*(D28+AM28)*(D30+AM30)*G14)</f>
        <v>3212.1947892969197</v>
      </c>
    </row>
    <row r="31" spans="1:41" s="12" customFormat="1" ht="12.75" customHeight="1">
      <c r="A31" s="6"/>
      <c r="B31" s="6"/>
      <c r="C31" s="554"/>
      <c r="D31" s="909"/>
      <c r="E31" s="553"/>
      <c r="F31" s="553">
        <f>SUM(F24:F30)</f>
        <v>10.845555555555556</v>
      </c>
      <c r="G31" s="555"/>
      <c r="H31" s="203"/>
      <c r="I31" s="203"/>
      <c r="J31" s="552"/>
      <c r="K31" s="261"/>
      <c r="L31" s="70"/>
      <c r="M31" s="695"/>
      <c r="N31" s="70"/>
      <c r="O31" s="70"/>
      <c r="P31" s="70"/>
      <c r="Q31" s="70"/>
      <c r="R31" s="75"/>
      <c r="S31" s="75"/>
      <c r="T31" s="75"/>
      <c r="U31" s="75"/>
      <c r="V31" s="75"/>
      <c r="W31" s="25"/>
      <c r="X31" s="50"/>
      <c r="Y31" s="50"/>
      <c r="Z31" s="44"/>
      <c r="AA31" s="44"/>
      <c r="AB31" s="44"/>
      <c r="AC31" s="44"/>
      <c r="AD31" s="44"/>
      <c r="AE31" s="50"/>
      <c r="AF31" s="50"/>
      <c r="AG31" s="53"/>
      <c r="AH31" s="630"/>
      <c r="AI31" s="499"/>
      <c r="AJ31" s="499"/>
      <c r="AK31" s="499"/>
      <c r="AL31" s="633"/>
      <c r="AM31" s="828"/>
      <c r="AN31" s="698"/>
      <c r="AO31" s="698"/>
    </row>
    <row r="32" spans="1:50" s="222" customFormat="1" ht="12.75" customHeight="1">
      <c r="A32" s="631"/>
      <c r="B32" s="692"/>
      <c r="C32" s="631"/>
      <c r="D32" s="631"/>
      <c r="E32" s="631"/>
      <c r="F32" s="631"/>
      <c r="G32" s="631"/>
      <c r="H32" s="631"/>
      <c r="I32" s="602"/>
      <c r="J32" s="693"/>
      <c r="K32" s="694"/>
      <c r="L32" s="602"/>
      <c r="M32" s="70"/>
      <c r="N32" s="651"/>
      <c r="O32" s="653"/>
      <c r="P32" s="650"/>
      <c r="Q32" s="654"/>
      <c r="R32" s="649"/>
      <c r="S32" s="649"/>
      <c r="T32" s="649"/>
      <c r="U32" s="649"/>
      <c r="V32" s="649"/>
      <c r="W32" s="649"/>
      <c r="X32" s="655"/>
      <c r="Y32" s="655"/>
      <c r="Z32" s="655"/>
      <c r="AA32" s="423"/>
      <c r="AB32" s="423"/>
      <c r="AC32" s="423"/>
      <c r="AD32" s="423"/>
      <c r="AE32" s="423"/>
      <c r="AF32" s="423"/>
      <c r="AG32" s="512"/>
      <c r="AH32" s="630"/>
      <c r="AI32" s="499"/>
      <c r="AJ32" s="499"/>
      <c r="AK32" s="499"/>
      <c r="AL32" s="633"/>
      <c r="AM32" s="827"/>
      <c r="AN32" s="512"/>
      <c r="AO32" s="471"/>
      <c r="AP32" s="471"/>
      <c r="AQ32" s="471"/>
      <c r="AR32" s="471"/>
      <c r="AS32" s="471"/>
      <c r="AT32" s="471"/>
      <c r="AU32" s="471"/>
      <c r="AV32" s="471"/>
      <c r="AW32" s="512"/>
      <c r="AX32" s="512"/>
    </row>
    <row r="33" spans="1:50" s="207" customFormat="1" ht="12.75" customHeight="1">
      <c r="A33" s="631"/>
      <c r="B33" s="720" t="s">
        <v>101</v>
      </c>
      <c r="C33" s="713" t="str">
        <f>INDEX(AH36:AH37,AO36,1)</f>
        <v>Следовательно ограждающая конструция удовлетворяет требования СНиП II-03-79* , п.5.1.  так как:</v>
      </c>
      <c r="D33" s="205"/>
      <c r="E33" s="205"/>
      <c r="F33" s="205"/>
      <c r="G33" s="280"/>
      <c r="H33" s="205"/>
      <c r="I33" s="602"/>
      <c r="J33" s="693"/>
      <c r="K33" s="701"/>
      <c r="L33" s="602"/>
      <c r="M33" s="647"/>
      <c r="N33" s="649"/>
      <c r="O33" s="657"/>
      <c r="P33" s="660"/>
      <c r="Q33" s="657"/>
      <c r="R33" s="662"/>
      <c r="S33" s="649"/>
      <c r="T33" s="663"/>
      <c r="U33" s="649"/>
      <c r="V33" s="649"/>
      <c r="W33" s="649"/>
      <c r="X33" s="655"/>
      <c r="Y33" s="655"/>
      <c r="Z33" s="655"/>
      <c r="AA33" s="423"/>
      <c r="AB33" s="423"/>
      <c r="AC33" s="423"/>
      <c r="AD33" s="423"/>
      <c r="AE33" s="423"/>
      <c r="AF33" s="423"/>
      <c r="AG33" s="512"/>
      <c r="AH33" s="3"/>
      <c r="AI33" s="3"/>
      <c r="AJ33" s="3"/>
      <c r="AK33" s="3"/>
      <c r="AL33" s="3"/>
      <c r="AM33" s="3"/>
      <c r="AN33" s="512"/>
      <c r="AO33" s="471"/>
      <c r="AP33" s="471"/>
      <c r="AQ33" s="471"/>
      <c r="AR33" s="471"/>
      <c r="AS33" s="471"/>
      <c r="AT33" s="471"/>
      <c r="AU33" s="471"/>
      <c r="AV33" s="471"/>
      <c r="AW33" s="512"/>
      <c r="AX33" s="512"/>
    </row>
    <row r="34" spans="1:50" s="9" customFormat="1" ht="12.75" customHeight="1">
      <c r="A34" s="6"/>
      <c r="B34" s="6"/>
      <c r="C34" s="857" t="s">
        <v>340</v>
      </c>
      <c r="D34" s="843">
        <f>F9</f>
        <v>2.79</v>
      </c>
      <c r="E34" s="855" t="str">
        <f>INDEX(AP36:AP37,AO36,1)</f>
        <v>&gt;AtB=</v>
      </c>
      <c r="F34" s="922">
        <f>D16</f>
        <v>0.002879651019552469</v>
      </c>
      <c r="G34" s="910" t="s">
        <v>291</v>
      </c>
      <c r="H34" s="205"/>
      <c r="I34" s="6"/>
      <c r="J34" s="94"/>
      <c r="K34" s="956"/>
      <c r="L34" s="957"/>
      <c r="M34" s="958"/>
      <c r="N34" s="859"/>
      <c r="O34" s="859"/>
      <c r="P34" s="860"/>
      <c r="Q34" s="859"/>
      <c r="R34" s="666"/>
      <c r="S34" s="666"/>
      <c r="T34" s="666"/>
      <c r="U34" s="666"/>
      <c r="V34" s="666"/>
      <c r="W34" s="666"/>
      <c r="X34" s="668"/>
      <c r="Y34" s="668"/>
      <c r="Z34" s="668"/>
      <c r="AA34" s="528"/>
      <c r="AB34" s="529"/>
      <c r="AC34" s="527"/>
      <c r="AD34" s="527"/>
      <c r="AE34" s="527"/>
      <c r="AF34" s="527"/>
      <c r="AG34" s="523"/>
      <c r="AH34" s="630"/>
      <c r="AI34" s="499"/>
      <c r="AJ34" s="499"/>
      <c r="AK34" s="499"/>
      <c r="AL34" s="633"/>
      <c r="AM34" s="827"/>
      <c r="AN34" s="523"/>
      <c r="AO34" s="523"/>
      <c r="AP34" s="530"/>
      <c r="AQ34" s="530"/>
      <c r="AR34" s="530"/>
      <c r="AS34" s="530"/>
      <c r="AT34" s="530"/>
      <c r="AU34" s="530"/>
      <c r="AV34" s="530"/>
      <c r="AW34" s="530"/>
      <c r="AX34" s="530"/>
    </row>
    <row r="35" spans="1:55" s="207" customFormat="1" ht="12.75" customHeight="1">
      <c r="A35" s="6"/>
      <c r="B35" s="435"/>
      <c r="C35" s="632"/>
      <c r="D35" s="632"/>
      <c r="E35" s="631"/>
      <c r="F35" s="631"/>
      <c r="G35" s="631"/>
      <c r="H35" s="1080"/>
      <c r="I35" s="1080"/>
      <c r="J35" s="959"/>
      <c r="K35" s="960"/>
      <c r="L35" s="961"/>
      <c r="M35" s="962"/>
      <c r="N35" s="655"/>
      <c r="O35" s="655"/>
      <c r="P35" s="655"/>
      <c r="Q35" s="655"/>
      <c r="R35" s="649"/>
      <c r="S35" s="649"/>
      <c r="T35" s="649"/>
      <c r="U35" s="649"/>
      <c r="V35" s="649"/>
      <c r="W35" s="649"/>
      <c r="X35" s="655"/>
      <c r="Y35" s="655"/>
      <c r="Z35" s="655"/>
      <c r="AA35" s="423"/>
      <c r="AB35" s="423"/>
      <c r="AC35" s="423"/>
      <c r="AD35" s="423"/>
      <c r="AE35" s="423"/>
      <c r="AF35" s="423"/>
      <c r="AG35" s="512"/>
      <c r="AH35" s="512"/>
      <c r="AI35" s="512"/>
      <c r="AJ35" s="512"/>
      <c r="AK35" s="512"/>
      <c r="AL35" s="512"/>
      <c r="AM35" s="512"/>
      <c r="AN35" s="512"/>
      <c r="AO35" s="512" t="s">
        <v>341</v>
      </c>
      <c r="AP35" s="627"/>
      <c r="AQ35" s="512"/>
      <c r="AR35" s="512"/>
      <c r="AS35" s="512"/>
      <c r="AT35" s="512"/>
      <c r="AU35" s="512"/>
      <c r="AV35" s="512"/>
      <c r="AW35" s="512"/>
      <c r="AX35" s="512"/>
      <c r="AY35" s="222"/>
      <c r="AZ35" s="222"/>
      <c r="BA35" s="222"/>
      <c r="BB35" s="222"/>
      <c r="BC35" s="222"/>
    </row>
    <row r="36" spans="1:55" s="207" customFormat="1" ht="12.75" customHeight="1">
      <c r="A36" s="631"/>
      <c r="B36" s="841"/>
      <c r="C36" s="842"/>
      <c r="D36" s="911"/>
      <c r="E36" s="704"/>
      <c r="F36" s="705"/>
      <c r="G36" s="706"/>
      <c r="H36" s="1081"/>
      <c r="I36" s="1081" t="s">
        <v>342</v>
      </c>
      <c r="J36" s="963"/>
      <c r="K36" s="960"/>
      <c r="L36" s="964"/>
      <c r="M36" s="965"/>
      <c r="N36" s="655"/>
      <c r="O36" s="655"/>
      <c r="P36" s="655"/>
      <c r="Q36" s="655"/>
      <c r="R36" s="649"/>
      <c r="S36" s="649"/>
      <c r="T36" s="649"/>
      <c r="U36" s="649"/>
      <c r="V36" s="649"/>
      <c r="W36" s="649"/>
      <c r="X36" s="649"/>
      <c r="Y36" s="649"/>
      <c r="Z36" s="649"/>
      <c r="AA36" s="205"/>
      <c r="AB36" s="205"/>
      <c r="AC36" s="205"/>
      <c r="AD36" s="205"/>
      <c r="AE36" s="205"/>
      <c r="AF36" s="205"/>
      <c r="AG36" s="222">
        <v>1</v>
      </c>
      <c r="AH36" s="205" t="s">
        <v>343</v>
      </c>
      <c r="AI36" s="222"/>
      <c r="AJ36" s="222"/>
      <c r="AK36" s="222"/>
      <c r="AL36" s="222"/>
      <c r="AM36" s="222"/>
      <c r="AN36" s="222"/>
      <c r="AO36" s="688">
        <f>IF(F9&gt;=D16,1)+IF(F9&lt;D16,2)</f>
        <v>1</v>
      </c>
      <c r="AP36" s="627" t="s">
        <v>344</v>
      </c>
      <c r="AQ36" s="840"/>
      <c r="AR36" s="543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</row>
    <row r="37" spans="1:55" s="207" customFormat="1" ht="12.75" customHeight="1">
      <c r="A37" s="6"/>
      <c r="B37" s="6"/>
      <c r="C37" s="631"/>
      <c r="D37" s="631"/>
      <c r="E37" s="631"/>
      <c r="F37" s="631"/>
      <c r="G37" s="631"/>
      <c r="H37" s="1080"/>
      <c r="I37" s="1081"/>
      <c r="J37" s="959"/>
      <c r="K37" s="960"/>
      <c r="L37" s="1082"/>
      <c r="M37" s="965"/>
      <c r="N37" s="655"/>
      <c r="O37" s="655"/>
      <c r="P37" s="655"/>
      <c r="Q37" s="655"/>
      <c r="R37" s="649"/>
      <c r="S37" s="649"/>
      <c r="T37" s="649"/>
      <c r="U37" s="649"/>
      <c r="V37" s="649"/>
      <c r="W37" s="649"/>
      <c r="X37" s="649"/>
      <c r="Y37" s="649"/>
      <c r="Z37" s="649"/>
      <c r="AA37" s="205"/>
      <c r="AB37" s="205"/>
      <c r="AC37" s="205"/>
      <c r="AD37" s="205"/>
      <c r="AE37" s="205"/>
      <c r="AF37" s="205"/>
      <c r="AG37" s="222">
        <v>2</v>
      </c>
      <c r="AH37" s="205" t="s">
        <v>345</v>
      </c>
      <c r="AI37" s="222"/>
      <c r="AJ37" s="222"/>
      <c r="AK37" s="222"/>
      <c r="AL37" s="222"/>
      <c r="AM37" s="222"/>
      <c r="AN37" s="222"/>
      <c r="AO37" s="222" t="s">
        <v>24</v>
      </c>
      <c r="AP37" s="627" t="s">
        <v>346</v>
      </c>
      <c r="AQ37" s="222"/>
      <c r="AR37" s="543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</row>
    <row r="38" spans="1:55" s="9" customFormat="1" ht="12.75" customHeight="1">
      <c r="A38" s="6"/>
      <c r="B38" s="6"/>
      <c r="C38" s="631"/>
      <c r="D38" s="631"/>
      <c r="E38" s="631"/>
      <c r="F38" s="631"/>
      <c r="G38" s="631"/>
      <c r="H38" s="1030"/>
      <c r="I38" s="1083"/>
      <c r="J38" s="1084"/>
      <c r="K38" s="1085"/>
      <c r="L38" s="1086"/>
      <c r="M38" s="1087"/>
      <c r="N38" s="859"/>
      <c r="O38" s="859"/>
      <c r="P38" s="859"/>
      <c r="Q38" s="859"/>
      <c r="R38" s="666"/>
      <c r="S38" s="666"/>
      <c r="T38" s="666"/>
      <c r="U38" s="666"/>
      <c r="V38" s="666"/>
      <c r="W38" s="666"/>
      <c r="X38" s="666"/>
      <c r="Y38" s="666"/>
      <c r="Z38" s="666"/>
      <c r="AA38" s="25"/>
      <c r="AB38" s="25"/>
      <c r="AC38" s="25"/>
      <c r="AD38" s="25"/>
      <c r="AE38" s="25"/>
      <c r="AF38" s="25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9" customFormat="1" ht="12.75" customHeight="1">
      <c r="A39" s="649"/>
      <c r="B39" s="664"/>
      <c r="C39" s="649"/>
      <c r="D39" s="649"/>
      <c r="E39" s="649"/>
      <c r="F39" s="649"/>
      <c r="G39" s="654"/>
      <c r="H39" s="1086"/>
      <c r="I39" s="1088"/>
      <c r="J39" s="1088"/>
      <c r="K39" s="1089"/>
      <c r="L39" s="1086"/>
      <c r="M39" s="108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25"/>
      <c r="AB39" s="25"/>
      <c r="AC39" s="25"/>
      <c r="AD39" s="25"/>
      <c r="AE39" s="25"/>
      <c r="AF39" s="25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9" customFormat="1" ht="12.75" customHeight="1">
      <c r="A40" s="649"/>
      <c r="B40" s="664"/>
      <c r="C40" s="669"/>
      <c r="D40" s="669"/>
      <c r="E40" s="669"/>
      <c r="F40" s="669"/>
      <c r="G40" s="669"/>
      <c r="H40" s="669"/>
      <c r="I40" s="654"/>
      <c r="J40" s="654"/>
      <c r="K40" s="665"/>
      <c r="L40" s="670"/>
      <c r="M40" s="675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25"/>
      <c r="AB40" s="25"/>
      <c r="AC40" s="25"/>
      <c r="AD40" s="25"/>
      <c r="AE40" s="25"/>
      <c r="AF40" s="25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9" customFormat="1" ht="12.75" customHeight="1">
      <c r="A41" s="670"/>
      <c r="B41" s="670" t="s">
        <v>347</v>
      </c>
      <c r="C41" s="670"/>
      <c r="D41" s="670"/>
      <c r="E41" s="670"/>
      <c r="F41" s="670"/>
      <c r="G41" s="670"/>
      <c r="H41" s="670"/>
      <c r="I41" s="670"/>
      <c r="J41"/>
      <c r="K41" s="670"/>
      <c r="L41" s="666"/>
      <c r="M41" s="675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25"/>
      <c r="AB41" s="25"/>
      <c r="AC41" s="25"/>
      <c r="AD41" s="25"/>
      <c r="AE41" s="25"/>
      <c r="AF41" s="25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32" s="9" customFormat="1" ht="12.75" customHeight="1">
      <c r="A42" s="666"/>
      <c r="B42" s="686"/>
      <c r="C42" s="655"/>
      <c r="D42" s="649"/>
      <c r="E42" s="649"/>
      <c r="F42" s="649"/>
      <c r="G42" s="673"/>
      <c r="H42" s="666"/>
      <c r="I42" s="673"/>
      <c r="J42" s="673"/>
      <c r="K42" s="674"/>
      <c r="L42" s="666"/>
      <c r="M42" s="675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23"/>
      <c r="AB42" s="23"/>
      <c r="AC42" s="23"/>
      <c r="AD42" s="23"/>
      <c r="AE42" s="23"/>
      <c r="AF42" s="23"/>
    </row>
    <row r="43" spans="1:32" s="9" customFormat="1" ht="12.75" customHeight="1">
      <c r="A43" s="666"/>
      <c r="B43" s="687"/>
      <c r="C43" s="655"/>
      <c r="D43" s="676"/>
      <c r="E43" s="666"/>
      <c r="F43" s="666"/>
      <c r="G43" s="673"/>
      <c r="H43" s="666"/>
      <c r="I43" s="673"/>
      <c r="J43" s="673"/>
      <c r="K43" s="674"/>
      <c r="L43" s="666"/>
      <c r="M43" s="675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23"/>
      <c r="AB43" s="23"/>
      <c r="AC43" s="23"/>
      <c r="AD43" s="23"/>
      <c r="AE43" s="23"/>
      <c r="AF43" s="23"/>
    </row>
    <row r="44" spans="1:32" s="9" customFormat="1" ht="12.75" customHeight="1">
      <c r="A44" s="666"/>
      <c r="B44" s="665"/>
      <c r="C44" s="677"/>
      <c r="D44" s="649"/>
      <c r="E44" s="666"/>
      <c r="F44" s="666"/>
      <c r="G44" s="673"/>
      <c r="H44" s="666"/>
      <c r="I44" s="673"/>
      <c r="J44" s="673"/>
      <c r="K44" s="674"/>
      <c r="L44" s="666"/>
      <c r="M44" s="675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23"/>
      <c r="AB44" s="23"/>
      <c r="AC44" s="23"/>
      <c r="AD44" s="23"/>
      <c r="AE44" s="23"/>
      <c r="AF44" s="23"/>
    </row>
    <row r="45" spans="1:32" s="207" customFormat="1" ht="12.75" customHeight="1">
      <c r="A45" s="649"/>
      <c r="B45" s="678"/>
      <c r="C45" s="671"/>
      <c r="D45" s="671"/>
      <c r="E45" s="649"/>
      <c r="F45" s="649"/>
      <c r="G45" s="654"/>
      <c r="H45" s="649"/>
      <c r="I45" s="654"/>
      <c r="J45" s="654"/>
      <c r="K45" s="665"/>
      <c r="L45" s="649"/>
      <c r="M45" s="650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203"/>
      <c r="AB45" s="203"/>
      <c r="AC45" s="203"/>
      <c r="AD45" s="203"/>
      <c r="AE45" s="203"/>
      <c r="AF45" s="203"/>
    </row>
    <row r="46" spans="1:32" s="207" customFormat="1" ht="12.75" customHeight="1">
      <c r="A46" s="649"/>
      <c r="B46" s="679"/>
      <c r="C46" s="680"/>
      <c r="D46" s="681"/>
      <c r="E46" s="649"/>
      <c r="F46" s="649"/>
      <c r="G46" s="654"/>
      <c r="H46" s="649"/>
      <c r="I46" s="654"/>
      <c r="J46" s="654"/>
      <c r="K46" s="665"/>
      <c r="L46" s="649"/>
      <c r="M46" s="650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203"/>
      <c r="AB46" s="203"/>
      <c r="AC46" s="203"/>
      <c r="AD46" s="203"/>
      <c r="AE46" s="203"/>
      <c r="AF46" s="203"/>
    </row>
    <row r="47" spans="1:32" s="207" customFormat="1" ht="12.75" customHeight="1">
      <c r="A47" s="649"/>
      <c r="B47" s="649"/>
      <c r="C47" s="679"/>
      <c r="D47" s="656"/>
      <c r="E47" s="682"/>
      <c r="F47" s="683"/>
      <c r="G47" s="684"/>
      <c r="H47" s="649"/>
      <c r="I47" s="654"/>
      <c r="J47" s="654"/>
      <c r="K47" s="665"/>
      <c r="L47" s="649"/>
      <c r="M47" s="650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203"/>
      <c r="AB47" s="203"/>
      <c r="AC47" s="203"/>
      <c r="AD47" s="203"/>
      <c r="AE47" s="203"/>
      <c r="AF47" s="203"/>
    </row>
    <row r="48" spans="2:13" s="207" customFormat="1" ht="12.75" customHeight="1">
      <c r="B48" s="222"/>
      <c r="C48" s="222"/>
      <c r="D48" s="222"/>
      <c r="E48" s="222"/>
      <c r="F48" s="222"/>
      <c r="G48" s="581"/>
      <c r="H48" s="222"/>
      <c r="I48" s="581"/>
      <c r="J48" s="581"/>
      <c r="K48" s="582"/>
      <c r="M48" s="583"/>
    </row>
    <row r="49" spans="2:13" s="207" customFormat="1" ht="12.75" customHeight="1">
      <c r="B49" s="600"/>
      <c r="C49" s="222"/>
      <c r="D49" s="222"/>
      <c r="E49" s="222"/>
      <c r="F49" s="222"/>
      <c r="G49" s="581"/>
      <c r="H49" s="222"/>
      <c r="I49" s="581"/>
      <c r="J49" s="581"/>
      <c r="K49" s="582"/>
      <c r="M49" s="583"/>
    </row>
    <row r="50" spans="2:13" s="207" customFormat="1" ht="12.75" customHeight="1">
      <c r="B50" s="222"/>
      <c r="C50" s="222"/>
      <c r="D50" s="222"/>
      <c r="E50" s="222"/>
      <c r="F50" s="222"/>
      <c r="G50" s="581"/>
      <c r="H50" s="222"/>
      <c r="I50" s="581"/>
      <c r="J50" s="581"/>
      <c r="K50" s="582"/>
      <c r="M50" s="583"/>
    </row>
    <row r="51" spans="2:13" s="207" customFormat="1" ht="12.75" customHeight="1">
      <c r="B51" s="222"/>
      <c r="C51" s="222"/>
      <c r="D51" s="222"/>
      <c r="E51" s="222"/>
      <c r="F51" s="222"/>
      <c r="G51" s="581"/>
      <c r="H51" s="222"/>
      <c r="I51" s="581"/>
      <c r="J51" s="581"/>
      <c r="K51" s="582"/>
      <c r="M51" s="583"/>
    </row>
    <row r="52" spans="2:13" s="207" customFormat="1" ht="12.75" customHeight="1">
      <c r="B52" s="222"/>
      <c r="C52" s="222"/>
      <c r="D52" s="222"/>
      <c r="E52" s="222"/>
      <c r="F52" s="222"/>
      <c r="G52" s="581"/>
      <c r="H52" s="222"/>
      <c r="I52" s="581"/>
      <c r="J52" s="581"/>
      <c r="K52" s="582"/>
      <c r="M52" s="583"/>
    </row>
    <row r="53" spans="2:13" s="9" customFormat="1" ht="12.75" customHeight="1">
      <c r="B53" s="12"/>
      <c r="C53" s="12"/>
      <c r="D53" s="12"/>
      <c r="E53" s="12"/>
      <c r="F53" s="12"/>
      <c r="G53" s="13"/>
      <c r="H53" s="12"/>
      <c r="I53" s="13"/>
      <c r="J53" s="13"/>
      <c r="K53" s="86"/>
      <c r="M53" s="11"/>
    </row>
    <row r="54" spans="2:13" s="9" customFormat="1" ht="12.75" customHeight="1">
      <c r="B54" s="12"/>
      <c r="C54" s="12"/>
      <c r="D54" s="12"/>
      <c r="E54" s="12"/>
      <c r="F54" s="12"/>
      <c r="G54" s="13"/>
      <c r="H54" s="12"/>
      <c r="I54" s="13"/>
      <c r="J54" s="13"/>
      <c r="K54" s="86"/>
      <c r="M54" s="11"/>
    </row>
    <row r="55" spans="2:13" s="9" customFormat="1" ht="12.75" customHeight="1">
      <c r="B55" s="12"/>
      <c r="C55" s="12"/>
      <c r="D55" s="12"/>
      <c r="E55" s="12"/>
      <c r="F55" s="12"/>
      <c r="G55" s="13"/>
      <c r="H55" s="12"/>
      <c r="I55" s="13"/>
      <c r="J55" s="13"/>
      <c r="K55" s="86"/>
      <c r="M55" s="11"/>
    </row>
    <row r="56" spans="2:13" s="9" customFormat="1" ht="12.75" customHeight="1">
      <c r="B56" s="12"/>
      <c r="C56" s="12"/>
      <c r="D56" s="12"/>
      <c r="E56" s="12"/>
      <c r="F56" s="12"/>
      <c r="G56" s="13"/>
      <c r="H56" s="12"/>
      <c r="I56" s="13"/>
      <c r="J56" s="13"/>
      <c r="K56" s="86"/>
      <c r="M56" s="11"/>
    </row>
    <row r="57" spans="2:13" s="9" customFormat="1" ht="12.75" customHeight="1">
      <c r="B57" s="12"/>
      <c r="C57" s="12"/>
      <c r="D57" s="12"/>
      <c r="E57" s="12"/>
      <c r="F57" s="12"/>
      <c r="G57" s="13"/>
      <c r="H57" s="12"/>
      <c r="I57" s="13"/>
      <c r="J57" s="13"/>
      <c r="K57" s="86"/>
      <c r="M57" s="11"/>
    </row>
    <row r="58" spans="2:13" s="9" customFormat="1" ht="12.75" customHeight="1">
      <c r="B58" s="12"/>
      <c r="C58" s="12"/>
      <c r="D58" s="12"/>
      <c r="E58" s="12"/>
      <c r="F58" s="12"/>
      <c r="G58" s="13"/>
      <c r="H58" s="12"/>
      <c r="I58" s="13"/>
      <c r="J58" s="13"/>
      <c r="K58" s="86"/>
      <c r="M58" s="11"/>
    </row>
    <row r="59" spans="2:13" s="9" customFormat="1" ht="12.75" customHeight="1">
      <c r="B59" s="12"/>
      <c r="C59" s="12"/>
      <c r="D59" s="12"/>
      <c r="E59" s="12"/>
      <c r="F59" s="12"/>
      <c r="G59" s="13"/>
      <c r="H59" s="12"/>
      <c r="I59" s="13"/>
      <c r="J59" s="13"/>
      <c r="K59" s="86"/>
      <c r="M59" s="11"/>
    </row>
    <row r="60" spans="2:13" s="9" customFormat="1" ht="12.75" customHeight="1">
      <c r="B60" s="12"/>
      <c r="C60" s="12"/>
      <c r="D60" s="12"/>
      <c r="E60" s="12"/>
      <c r="F60" s="12"/>
      <c r="G60" s="13"/>
      <c r="H60" s="12"/>
      <c r="I60" s="13"/>
      <c r="J60" s="13"/>
      <c r="K60" s="86"/>
      <c r="M60" s="11"/>
    </row>
    <row r="61" spans="2:13" s="9" customFormat="1" ht="12.75" customHeight="1">
      <c r="B61" s="12"/>
      <c r="C61" s="12"/>
      <c r="D61" s="12"/>
      <c r="E61" s="12"/>
      <c r="F61" s="12"/>
      <c r="G61" s="13"/>
      <c r="H61" s="12"/>
      <c r="I61" s="13"/>
      <c r="J61" s="13"/>
      <c r="K61" s="86"/>
      <c r="M61" s="11"/>
    </row>
    <row r="62" spans="2:13" s="9" customFormat="1" ht="12.75" customHeight="1">
      <c r="B62" s="12"/>
      <c r="C62" s="12"/>
      <c r="D62" s="12"/>
      <c r="E62" s="12"/>
      <c r="F62" s="12"/>
      <c r="G62" s="13"/>
      <c r="H62" s="12"/>
      <c r="I62" s="13"/>
      <c r="J62" s="13"/>
      <c r="K62" s="86"/>
      <c r="M62" s="11"/>
    </row>
    <row r="63" spans="2:13" s="9" customFormat="1" ht="12.75" customHeight="1">
      <c r="B63" s="12"/>
      <c r="C63" s="12"/>
      <c r="D63" s="12"/>
      <c r="E63" s="12"/>
      <c r="F63" s="12"/>
      <c r="G63" s="13"/>
      <c r="H63" s="12"/>
      <c r="I63" s="13"/>
      <c r="J63" s="13"/>
      <c r="K63" s="86"/>
      <c r="M63" s="11"/>
    </row>
    <row r="64" spans="2:13" s="9" customFormat="1" ht="12.75" customHeight="1">
      <c r="B64" s="12"/>
      <c r="C64" s="12"/>
      <c r="D64" s="12"/>
      <c r="E64" s="12"/>
      <c r="F64" s="12"/>
      <c r="G64" s="13"/>
      <c r="H64" s="12"/>
      <c r="I64" s="13"/>
      <c r="J64" s="13"/>
      <c r="K64" s="86"/>
      <c r="M64" s="11"/>
    </row>
    <row r="65" spans="2:13" s="9" customFormat="1" ht="12.75" customHeight="1">
      <c r="B65" s="12"/>
      <c r="C65" s="12"/>
      <c r="D65" s="12"/>
      <c r="E65" s="12"/>
      <c r="F65" s="12"/>
      <c r="G65" s="13"/>
      <c r="H65" s="12"/>
      <c r="I65" s="13"/>
      <c r="J65" s="13"/>
      <c r="K65" s="86"/>
      <c r="M65" s="11"/>
    </row>
    <row r="66" spans="2:13" s="9" customFormat="1" ht="12.75" customHeight="1">
      <c r="B66" s="12"/>
      <c r="C66" s="12"/>
      <c r="D66" s="12"/>
      <c r="E66" s="12"/>
      <c r="F66" s="12"/>
      <c r="G66" s="13"/>
      <c r="H66" s="12"/>
      <c r="I66" s="13"/>
      <c r="J66" s="13"/>
      <c r="K66" s="86"/>
      <c r="M66" s="11"/>
    </row>
    <row r="67" spans="2:13" s="9" customFormat="1" ht="12.75" customHeight="1">
      <c r="B67" s="12"/>
      <c r="C67" s="12"/>
      <c r="D67" s="12"/>
      <c r="E67" s="12"/>
      <c r="F67" s="12"/>
      <c r="G67" s="13"/>
      <c r="H67" s="12"/>
      <c r="I67" s="13"/>
      <c r="J67" s="13"/>
      <c r="K67" s="86"/>
      <c r="M67" s="11"/>
    </row>
    <row r="68" spans="2:13" s="9" customFormat="1" ht="12.75" customHeight="1">
      <c r="B68" s="12"/>
      <c r="C68" s="12"/>
      <c r="D68" s="12"/>
      <c r="E68" s="12"/>
      <c r="F68" s="12"/>
      <c r="G68" s="13"/>
      <c r="H68" s="12"/>
      <c r="I68" s="13"/>
      <c r="J68" s="13"/>
      <c r="K68" s="86"/>
      <c r="M68" s="11"/>
    </row>
    <row r="69" spans="2:13" s="9" customFormat="1" ht="12.75" customHeight="1">
      <c r="B69" s="12"/>
      <c r="C69" s="12"/>
      <c r="D69" s="12"/>
      <c r="E69" s="12"/>
      <c r="F69" s="12"/>
      <c r="G69" s="13"/>
      <c r="H69" s="12"/>
      <c r="I69" s="13"/>
      <c r="J69" s="13"/>
      <c r="K69" s="86"/>
      <c r="M69" s="11"/>
    </row>
    <row r="70" spans="2:13" s="9" customFormat="1" ht="12.75" customHeight="1">
      <c r="B70" s="12"/>
      <c r="C70" s="12"/>
      <c r="D70" s="12"/>
      <c r="E70" s="12"/>
      <c r="F70" s="12"/>
      <c r="G70" s="13"/>
      <c r="H70" s="12"/>
      <c r="I70" s="13"/>
      <c r="J70" s="13"/>
      <c r="K70" s="86"/>
      <c r="M70" s="11"/>
    </row>
    <row r="71" spans="2:13" s="9" customFormat="1" ht="12.75" customHeight="1">
      <c r="B71" s="12"/>
      <c r="C71" s="12"/>
      <c r="D71" s="12"/>
      <c r="E71" s="12"/>
      <c r="F71" s="12"/>
      <c r="G71" s="13"/>
      <c r="H71" s="12"/>
      <c r="I71" s="13"/>
      <c r="J71" s="13"/>
      <c r="K71" s="86"/>
      <c r="M71" s="11"/>
    </row>
    <row r="72" spans="2:13" s="9" customFormat="1" ht="12.75" customHeight="1">
      <c r="B72" s="12"/>
      <c r="C72" s="12"/>
      <c r="D72" s="12"/>
      <c r="E72" s="12"/>
      <c r="F72" s="12"/>
      <c r="G72" s="13"/>
      <c r="H72" s="12"/>
      <c r="I72" s="13"/>
      <c r="J72" s="13"/>
      <c r="K72" s="86"/>
      <c r="M72" s="11"/>
    </row>
    <row r="73" spans="2:13" s="9" customFormat="1" ht="12.75" customHeight="1">
      <c r="B73" s="12"/>
      <c r="C73" s="12"/>
      <c r="D73" s="12"/>
      <c r="E73" s="12"/>
      <c r="F73" s="12"/>
      <c r="G73" s="13"/>
      <c r="H73" s="12"/>
      <c r="I73" s="13"/>
      <c r="J73" s="13"/>
      <c r="K73" s="86"/>
      <c r="M73" s="11"/>
    </row>
    <row r="74" spans="2:13" s="9" customFormat="1" ht="12.75" customHeight="1">
      <c r="B74" s="12"/>
      <c r="C74" s="12"/>
      <c r="D74" s="12"/>
      <c r="E74" s="12"/>
      <c r="F74" s="12"/>
      <c r="G74" s="13"/>
      <c r="H74" s="12"/>
      <c r="I74" s="13"/>
      <c r="J74" s="13"/>
      <c r="K74" s="86"/>
      <c r="M74" s="11"/>
    </row>
    <row r="75" spans="2:13" s="9" customFormat="1" ht="12.75" customHeight="1">
      <c r="B75" s="12"/>
      <c r="C75" s="12"/>
      <c r="D75" s="12"/>
      <c r="E75" s="12"/>
      <c r="F75" s="12"/>
      <c r="G75" s="13"/>
      <c r="H75" s="12"/>
      <c r="I75" s="13"/>
      <c r="J75" s="13"/>
      <c r="K75" s="86"/>
      <c r="M75" s="11"/>
    </row>
    <row r="76" spans="2:13" s="9" customFormat="1" ht="12.75" customHeight="1">
      <c r="B76" s="12"/>
      <c r="C76" s="12"/>
      <c r="D76" s="12"/>
      <c r="E76" s="12"/>
      <c r="F76" s="12"/>
      <c r="G76" s="13"/>
      <c r="H76" s="12"/>
      <c r="I76" s="13"/>
      <c r="J76" s="13"/>
      <c r="K76" s="86"/>
      <c r="M76" s="11"/>
    </row>
    <row r="77" spans="2:13" s="9" customFormat="1" ht="12.75" customHeight="1">
      <c r="B77" s="12"/>
      <c r="C77" s="12"/>
      <c r="D77" s="12"/>
      <c r="E77" s="12"/>
      <c r="F77" s="12"/>
      <c r="G77" s="13"/>
      <c r="H77" s="12"/>
      <c r="I77" s="13"/>
      <c r="J77" s="13"/>
      <c r="K77" s="86"/>
      <c r="M77" s="11"/>
    </row>
    <row r="78" spans="2:13" s="9" customFormat="1" ht="12.75" customHeight="1">
      <c r="B78" s="12"/>
      <c r="C78" s="12"/>
      <c r="D78" s="12"/>
      <c r="E78" s="12"/>
      <c r="F78" s="12"/>
      <c r="G78" s="13"/>
      <c r="H78" s="12"/>
      <c r="I78" s="13"/>
      <c r="J78" s="13"/>
      <c r="K78" s="86"/>
      <c r="M78" s="11"/>
    </row>
    <row r="79" spans="7:13" s="9" customFormat="1" ht="12.75" customHeight="1">
      <c r="G79" s="10"/>
      <c r="I79" s="10"/>
      <c r="J79" s="10"/>
      <c r="K79" s="86"/>
      <c r="M79" s="11"/>
    </row>
    <row r="80" spans="7:13" s="9" customFormat="1" ht="12.75" customHeight="1">
      <c r="G80" s="10"/>
      <c r="I80" s="10"/>
      <c r="J80" s="10"/>
      <c r="K80" s="86"/>
      <c r="M80" s="11"/>
    </row>
    <row r="81" spans="7:13" s="9" customFormat="1" ht="12.75" customHeight="1">
      <c r="G81" s="10"/>
      <c r="I81" s="10"/>
      <c r="J81" s="10"/>
      <c r="K81" s="86"/>
      <c r="M81" s="11"/>
    </row>
    <row r="82" spans="7:13" s="9" customFormat="1" ht="12.75" customHeight="1">
      <c r="G82" s="10"/>
      <c r="I82" s="10"/>
      <c r="J82" s="10"/>
      <c r="K82" s="86"/>
      <c r="M82" s="11"/>
    </row>
    <row r="83" spans="7:13" s="9" customFormat="1" ht="12.75" customHeight="1">
      <c r="G83" s="10"/>
      <c r="I83" s="10"/>
      <c r="J83" s="10"/>
      <c r="K83" s="86"/>
      <c r="M83" s="11"/>
    </row>
    <row r="84" spans="7:13" s="9" customFormat="1" ht="12.75" customHeight="1">
      <c r="G84" s="10"/>
      <c r="I84" s="10"/>
      <c r="J84" s="10"/>
      <c r="K84" s="86"/>
      <c r="M84" s="11"/>
    </row>
    <row r="85" spans="7:13" s="9" customFormat="1" ht="12.75" customHeight="1">
      <c r="G85" s="10"/>
      <c r="I85" s="10"/>
      <c r="J85" s="10"/>
      <c r="K85" s="86"/>
      <c r="M85" s="11"/>
    </row>
    <row r="86" spans="7:13" s="9" customFormat="1" ht="12.75" customHeight="1">
      <c r="G86" s="10"/>
      <c r="I86" s="10"/>
      <c r="J86" s="10"/>
      <c r="K86" s="86"/>
      <c r="M86" s="11"/>
    </row>
    <row r="87" spans="7:13" s="9" customFormat="1" ht="12.75" customHeight="1">
      <c r="G87" s="10"/>
      <c r="I87" s="10"/>
      <c r="J87" s="10"/>
      <c r="K87" s="86"/>
      <c r="M87" s="11"/>
    </row>
    <row r="88" spans="7:13" s="9" customFormat="1" ht="12.75" customHeight="1">
      <c r="G88" s="10"/>
      <c r="I88" s="10"/>
      <c r="J88" s="10"/>
      <c r="K88" s="86"/>
      <c r="M88" s="11"/>
    </row>
    <row r="89" spans="7:13" s="9" customFormat="1" ht="12.75" customHeight="1">
      <c r="G89" s="10"/>
      <c r="I89" s="10"/>
      <c r="J89" s="10"/>
      <c r="K89" s="86"/>
      <c r="M89" s="11"/>
    </row>
    <row r="90" spans="7:13" s="9" customFormat="1" ht="12.75" customHeight="1">
      <c r="G90" s="10"/>
      <c r="I90" s="10"/>
      <c r="J90" s="10"/>
      <c r="K90" s="86"/>
      <c r="M90" s="11"/>
    </row>
    <row r="91" spans="7:13" s="9" customFormat="1" ht="12.75" customHeight="1">
      <c r="G91" s="10"/>
      <c r="I91" s="10"/>
      <c r="J91" s="10"/>
      <c r="K91" s="86"/>
      <c r="M91" s="11"/>
    </row>
    <row r="92" spans="7:13" s="9" customFormat="1" ht="12.75" customHeight="1">
      <c r="G92" s="10"/>
      <c r="I92" s="10"/>
      <c r="J92" s="10"/>
      <c r="K92" s="86"/>
      <c r="M92" s="11"/>
    </row>
    <row r="93" spans="7:13" s="9" customFormat="1" ht="12.75" customHeight="1">
      <c r="G93" s="10"/>
      <c r="I93" s="10"/>
      <c r="J93" s="10"/>
      <c r="K93" s="86"/>
      <c r="M93" s="11"/>
    </row>
    <row r="94" spans="7:13" s="9" customFormat="1" ht="12.75" customHeight="1">
      <c r="G94" s="10"/>
      <c r="I94" s="10"/>
      <c r="J94" s="10"/>
      <c r="K94" s="86"/>
      <c r="M94" s="11"/>
    </row>
    <row r="95" spans="7:13" s="9" customFormat="1" ht="12.75" customHeight="1">
      <c r="G95" s="10"/>
      <c r="I95" s="10"/>
      <c r="J95" s="10"/>
      <c r="K95" s="86"/>
      <c r="M95" s="11"/>
    </row>
    <row r="96" spans="7:13" s="9" customFormat="1" ht="12.75" customHeight="1">
      <c r="G96" s="10"/>
      <c r="I96" s="10"/>
      <c r="J96" s="10"/>
      <c r="K96" s="86"/>
      <c r="M96" s="11"/>
    </row>
    <row r="97" spans="7:13" s="9" customFormat="1" ht="12.75" customHeight="1">
      <c r="G97" s="10"/>
      <c r="I97" s="10"/>
      <c r="J97" s="10"/>
      <c r="K97" s="86"/>
      <c r="M97" s="11"/>
    </row>
    <row r="98" spans="7:13" s="9" customFormat="1" ht="12.75" customHeight="1">
      <c r="G98" s="10"/>
      <c r="I98" s="10"/>
      <c r="J98" s="10"/>
      <c r="K98" s="86"/>
      <c r="M98" s="11"/>
    </row>
    <row r="99" spans="7:13" s="9" customFormat="1" ht="12.75" customHeight="1">
      <c r="G99" s="10"/>
      <c r="I99" s="10"/>
      <c r="J99" s="10"/>
      <c r="K99" s="86"/>
      <c r="M99" s="11"/>
    </row>
    <row r="100" spans="7:13" s="9" customFormat="1" ht="12.75" customHeight="1">
      <c r="G100" s="10"/>
      <c r="I100" s="10"/>
      <c r="J100" s="10"/>
      <c r="K100" s="86"/>
      <c r="M100" s="11"/>
    </row>
    <row r="101" spans="7:13" s="9" customFormat="1" ht="12.75" customHeight="1">
      <c r="G101" s="10"/>
      <c r="I101" s="10"/>
      <c r="J101" s="10"/>
      <c r="K101" s="86"/>
      <c r="M101" s="11"/>
    </row>
    <row r="102" spans="7:13" s="9" customFormat="1" ht="12.75" customHeight="1">
      <c r="G102" s="10"/>
      <c r="I102" s="10"/>
      <c r="J102" s="10"/>
      <c r="K102" s="86"/>
      <c r="M102" s="11"/>
    </row>
    <row r="103" spans="7:13" s="9" customFormat="1" ht="12.75" customHeight="1">
      <c r="G103" s="10"/>
      <c r="I103" s="10"/>
      <c r="J103" s="10"/>
      <c r="K103" s="86"/>
      <c r="M103" s="11"/>
    </row>
    <row r="104" spans="7:13" s="9" customFormat="1" ht="12.75" customHeight="1">
      <c r="G104" s="10"/>
      <c r="I104" s="10"/>
      <c r="J104" s="10"/>
      <c r="K104" s="86"/>
      <c r="M104" s="11"/>
    </row>
    <row r="105" spans="7:13" s="9" customFormat="1" ht="12.75" customHeight="1">
      <c r="G105" s="10"/>
      <c r="I105" s="10"/>
      <c r="J105" s="10"/>
      <c r="K105" s="86"/>
      <c r="M105" s="11"/>
    </row>
    <row r="106" spans="7:13" s="9" customFormat="1" ht="12.75" customHeight="1">
      <c r="G106" s="10"/>
      <c r="I106" s="10"/>
      <c r="J106" s="10"/>
      <c r="K106" s="86"/>
      <c r="M106" s="11"/>
    </row>
    <row r="107" spans="7:13" s="9" customFormat="1" ht="12.75" customHeight="1">
      <c r="G107" s="10"/>
      <c r="I107" s="10"/>
      <c r="J107" s="10"/>
      <c r="K107" s="86"/>
      <c r="M107" s="11"/>
    </row>
    <row r="108" spans="7:13" s="9" customFormat="1" ht="12.75" customHeight="1">
      <c r="G108" s="10"/>
      <c r="I108" s="10"/>
      <c r="J108" s="10"/>
      <c r="K108" s="86"/>
      <c r="M108" s="11"/>
    </row>
    <row r="109" spans="7:13" s="9" customFormat="1" ht="12.75" customHeight="1">
      <c r="G109" s="10"/>
      <c r="I109" s="10"/>
      <c r="J109" s="10"/>
      <c r="K109" s="86"/>
      <c r="M109" s="11"/>
    </row>
    <row r="110" spans="7:13" s="9" customFormat="1" ht="12.75" customHeight="1">
      <c r="G110" s="10"/>
      <c r="I110" s="10"/>
      <c r="J110" s="10"/>
      <c r="K110" s="86"/>
      <c r="M110" s="11"/>
    </row>
    <row r="111" spans="7:13" s="9" customFormat="1" ht="12.75" customHeight="1">
      <c r="G111" s="10"/>
      <c r="I111" s="10"/>
      <c r="J111" s="10"/>
      <c r="K111" s="86"/>
      <c r="M111" s="11"/>
    </row>
    <row r="112" spans="7:13" s="9" customFormat="1" ht="12.75" customHeight="1">
      <c r="G112" s="10"/>
      <c r="I112" s="10"/>
      <c r="J112" s="10"/>
      <c r="K112" s="86"/>
      <c r="M112" s="11"/>
    </row>
    <row r="113" spans="7:13" s="9" customFormat="1" ht="12.75" customHeight="1">
      <c r="G113" s="10"/>
      <c r="I113" s="10"/>
      <c r="J113" s="10"/>
      <c r="K113" s="86"/>
      <c r="M113" s="11"/>
    </row>
    <row r="114" spans="7:13" s="9" customFormat="1" ht="12.75" customHeight="1">
      <c r="G114" s="10"/>
      <c r="I114" s="10"/>
      <c r="J114" s="10"/>
      <c r="K114" s="86"/>
      <c r="M114" s="11"/>
    </row>
    <row r="115" spans="7:13" s="9" customFormat="1" ht="12.75" customHeight="1">
      <c r="G115" s="10"/>
      <c r="I115" s="10"/>
      <c r="J115" s="10"/>
      <c r="K115" s="86"/>
      <c r="M115" s="11"/>
    </row>
    <row r="116" spans="7:13" s="9" customFormat="1" ht="12.75" customHeight="1">
      <c r="G116" s="10"/>
      <c r="I116" s="10"/>
      <c r="J116" s="10"/>
      <c r="K116" s="86"/>
      <c r="M116" s="11"/>
    </row>
    <row r="117" spans="7:13" s="9" customFormat="1" ht="12.75" customHeight="1">
      <c r="G117" s="10"/>
      <c r="I117" s="10"/>
      <c r="J117" s="10"/>
      <c r="K117" s="86"/>
      <c r="M117" s="11"/>
    </row>
    <row r="118" spans="7:13" s="9" customFormat="1" ht="12.75" customHeight="1">
      <c r="G118" s="10"/>
      <c r="I118" s="10"/>
      <c r="J118" s="10"/>
      <c r="K118" s="86"/>
      <c r="M118" s="11"/>
    </row>
    <row r="119" spans="7:13" s="9" customFormat="1" ht="12.75" customHeight="1">
      <c r="G119" s="10"/>
      <c r="I119" s="10"/>
      <c r="J119" s="10"/>
      <c r="K119" s="86"/>
      <c r="M119" s="11"/>
    </row>
    <row r="120" spans="7:13" s="9" customFormat="1" ht="12.75" customHeight="1">
      <c r="G120" s="10"/>
      <c r="I120" s="10"/>
      <c r="J120" s="10"/>
      <c r="K120" s="86"/>
      <c r="M120" s="11"/>
    </row>
    <row r="121" spans="7:13" s="9" customFormat="1" ht="12.75" customHeight="1">
      <c r="G121" s="10"/>
      <c r="I121" s="10"/>
      <c r="J121" s="10"/>
      <c r="K121" s="86"/>
      <c r="M121" s="11"/>
    </row>
    <row r="122" spans="7:13" s="9" customFormat="1" ht="12.75" customHeight="1">
      <c r="G122" s="10"/>
      <c r="I122" s="10"/>
      <c r="J122" s="10"/>
      <c r="K122" s="86"/>
      <c r="M122" s="11"/>
    </row>
    <row r="123" spans="7:13" s="9" customFormat="1" ht="12.75" customHeight="1">
      <c r="G123" s="10"/>
      <c r="I123" s="10"/>
      <c r="J123" s="10"/>
      <c r="K123" s="86"/>
      <c r="M123" s="11"/>
    </row>
    <row r="124" spans="7:13" s="9" customFormat="1" ht="12.75" customHeight="1">
      <c r="G124" s="10"/>
      <c r="I124" s="10"/>
      <c r="J124" s="10"/>
      <c r="K124" s="86"/>
      <c r="M124" s="11"/>
    </row>
    <row r="125" spans="7:13" s="9" customFormat="1" ht="12.75" customHeight="1">
      <c r="G125" s="10"/>
      <c r="I125" s="10"/>
      <c r="J125" s="10"/>
      <c r="K125" s="86"/>
      <c r="M125" s="11"/>
    </row>
    <row r="126" spans="7:13" s="9" customFormat="1" ht="12.75" customHeight="1">
      <c r="G126" s="10"/>
      <c r="I126" s="10"/>
      <c r="J126" s="10"/>
      <c r="K126" s="86"/>
      <c r="M126" s="11"/>
    </row>
    <row r="127" spans="7:13" s="9" customFormat="1" ht="12.75" customHeight="1">
      <c r="G127" s="10"/>
      <c r="I127" s="10"/>
      <c r="J127" s="10"/>
      <c r="K127" s="86"/>
      <c r="M127" s="11"/>
    </row>
    <row r="128" spans="7:13" s="9" customFormat="1" ht="12.75" customHeight="1">
      <c r="G128" s="10"/>
      <c r="I128" s="10"/>
      <c r="J128" s="10"/>
      <c r="K128" s="86"/>
      <c r="M128" s="11"/>
    </row>
    <row r="129" spans="7:13" s="9" customFormat="1" ht="12.75" customHeight="1">
      <c r="G129" s="10"/>
      <c r="I129" s="10"/>
      <c r="J129" s="10"/>
      <c r="K129" s="86"/>
      <c r="M129" s="11"/>
    </row>
    <row r="130" spans="7:13" s="9" customFormat="1" ht="12.75" customHeight="1">
      <c r="G130" s="10"/>
      <c r="I130" s="10"/>
      <c r="J130" s="10"/>
      <c r="K130" s="86"/>
      <c r="M130" s="11"/>
    </row>
    <row r="131" spans="7:13" s="9" customFormat="1" ht="12.75" customHeight="1">
      <c r="G131" s="10"/>
      <c r="I131" s="10"/>
      <c r="J131" s="10"/>
      <c r="K131" s="86"/>
      <c r="M131" s="11"/>
    </row>
    <row r="132" spans="7:13" s="9" customFormat="1" ht="12.75" customHeight="1">
      <c r="G132" s="10"/>
      <c r="I132" s="10"/>
      <c r="J132" s="10"/>
      <c r="K132" s="86"/>
      <c r="M132" s="11"/>
    </row>
    <row r="133" spans="7:13" s="9" customFormat="1" ht="12.75" customHeight="1">
      <c r="G133" s="10"/>
      <c r="I133" s="10"/>
      <c r="J133" s="10"/>
      <c r="K133" s="86"/>
      <c r="M133" s="11"/>
    </row>
    <row r="134" spans="7:13" s="9" customFormat="1" ht="12.75" customHeight="1">
      <c r="G134" s="10"/>
      <c r="I134" s="10"/>
      <c r="J134" s="10"/>
      <c r="K134" s="86"/>
      <c r="M134" s="11"/>
    </row>
    <row r="135" spans="7:13" s="9" customFormat="1" ht="12.75" customHeight="1">
      <c r="G135" s="10"/>
      <c r="I135" s="10"/>
      <c r="J135" s="10"/>
      <c r="K135" s="86"/>
      <c r="M135" s="11"/>
    </row>
    <row r="136" spans="7:13" s="9" customFormat="1" ht="12.75" customHeight="1">
      <c r="G136" s="10"/>
      <c r="I136" s="10"/>
      <c r="J136" s="10"/>
      <c r="K136" s="86"/>
      <c r="M136" s="11"/>
    </row>
    <row r="137" spans="7:13" s="9" customFormat="1" ht="12.75" customHeight="1">
      <c r="G137" s="10"/>
      <c r="I137" s="10"/>
      <c r="J137" s="10"/>
      <c r="K137" s="86"/>
      <c r="M137" s="11"/>
    </row>
    <row r="138" spans="7:13" s="9" customFormat="1" ht="12.75" customHeight="1">
      <c r="G138" s="10"/>
      <c r="I138" s="10"/>
      <c r="J138" s="10"/>
      <c r="K138" s="86"/>
      <c r="M138" s="11"/>
    </row>
    <row r="139" spans="7:13" s="9" customFormat="1" ht="12.75" customHeight="1">
      <c r="G139" s="10"/>
      <c r="I139" s="10"/>
      <c r="J139" s="10"/>
      <c r="K139" s="86"/>
      <c r="M139" s="11"/>
    </row>
    <row r="140" spans="7:13" s="9" customFormat="1" ht="12.75" customHeight="1">
      <c r="G140" s="10"/>
      <c r="I140" s="10"/>
      <c r="J140" s="10"/>
      <c r="K140" s="86"/>
      <c r="M140" s="11"/>
    </row>
    <row r="141" spans="7:13" s="9" customFormat="1" ht="12.75" customHeight="1">
      <c r="G141" s="10"/>
      <c r="I141" s="10"/>
      <c r="J141" s="10"/>
      <c r="K141" s="86"/>
      <c r="M141" s="11"/>
    </row>
    <row r="142" spans="7:13" s="9" customFormat="1" ht="12.75" customHeight="1">
      <c r="G142" s="10"/>
      <c r="I142" s="10"/>
      <c r="J142" s="10"/>
      <c r="K142" s="86"/>
      <c r="M142" s="11"/>
    </row>
    <row r="143" spans="7:13" s="9" customFormat="1" ht="12.75" customHeight="1">
      <c r="G143" s="10"/>
      <c r="I143" s="10"/>
      <c r="J143" s="10"/>
      <c r="K143" s="86"/>
      <c r="M143" s="11"/>
    </row>
    <row r="144" spans="7:13" s="9" customFormat="1" ht="12.75" customHeight="1">
      <c r="G144" s="10"/>
      <c r="I144" s="10"/>
      <c r="J144" s="10"/>
      <c r="K144" s="86"/>
      <c r="M144" s="11"/>
    </row>
    <row r="145" spans="7:13" s="9" customFormat="1" ht="12.75" customHeight="1">
      <c r="G145" s="10"/>
      <c r="I145" s="10"/>
      <c r="J145" s="10"/>
      <c r="K145" s="86"/>
      <c r="M145" s="11"/>
    </row>
    <row r="146" spans="7:13" s="9" customFormat="1" ht="12.75" customHeight="1">
      <c r="G146" s="10"/>
      <c r="I146" s="10"/>
      <c r="J146" s="10"/>
      <c r="K146" s="86"/>
      <c r="M146" s="11"/>
    </row>
    <row r="147" spans="7:13" s="9" customFormat="1" ht="12.75" customHeight="1">
      <c r="G147" s="10"/>
      <c r="I147" s="10"/>
      <c r="J147" s="10"/>
      <c r="K147" s="86"/>
      <c r="M147" s="11"/>
    </row>
    <row r="148" spans="7:13" s="9" customFormat="1" ht="12.75" customHeight="1">
      <c r="G148" s="10"/>
      <c r="I148" s="10"/>
      <c r="J148" s="10"/>
      <c r="K148" s="86"/>
      <c r="M148" s="11"/>
    </row>
    <row r="149" spans="7:13" s="9" customFormat="1" ht="12.75" customHeight="1">
      <c r="G149" s="10"/>
      <c r="I149" s="10"/>
      <c r="J149" s="10"/>
      <c r="K149" s="86"/>
      <c r="M149" s="11"/>
    </row>
    <row r="150" spans="7:13" s="9" customFormat="1" ht="12.75" customHeight="1">
      <c r="G150" s="10"/>
      <c r="I150" s="10"/>
      <c r="J150" s="10"/>
      <c r="K150" s="86"/>
      <c r="M150" s="11"/>
    </row>
    <row r="151" spans="7:13" s="9" customFormat="1" ht="12.75" customHeight="1">
      <c r="G151" s="10"/>
      <c r="I151" s="10"/>
      <c r="J151" s="10"/>
      <c r="K151" s="86"/>
      <c r="M151" s="11"/>
    </row>
    <row r="152" spans="7:13" s="9" customFormat="1" ht="12.75" customHeight="1">
      <c r="G152" s="10"/>
      <c r="I152" s="10"/>
      <c r="J152" s="10"/>
      <c r="K152" s="86"/>
      <c r="M152" s="11"/>
    </row>
    <row r="153" spans="7:13" s="9" customFormat="1" ht="12.75" customHeight="1">
      <c r="G153" s="10"/>
      <c r="I153" s="10"/>
      <c r="J153" s="10"/>
      <c r="K153" s="86"/>
      <c r="M153" s="11"/>
    </row>
    <row r="154" spans="7:13" s="9" customFormat="1" ht="12.75" customHeight="1">
      <c r="G154" s="10"/>
      <c r="I154" s="10"/>
      <c r="J154" s="10"/>
      <c r="K154" s="86"/>
      <c r="M154" s="11"/>
    </row>
    <row r="155" spans="7:13" s="9" customFormat="1" ht="12.75" customHeight="1">
      <c r="G155" s="10"/>
      <c r="I155" s="10"/>
      <c r="J155" s="10"/>
      <c r="K155" s="86"/>
      <c r="M155" s="11"/>
    </row>
    <row r="156" spans="7:13" s="9" customFormat="1" ht="12.75" customHeight="1">
      <c r="G156" s="10"/>
      <c r="I156" s="10"/>
      <c r="J156" s="10"/>
      <c r="K156" s="86"/>
      <c r="M156" s="11"/>
    </row>
    <row r="157" spans="7:13" s="9" customFormat="1" ht="12.75" customHeight="1">
      <c r="G157" s="10"/>
      <c r="I157" s="10"/>
      <c r="J157" s="10"/>
      <c r="K157" s="86"/>
      <c r="M157" s="11"/>
    </row>
    <row r="158" spans="7:13" s="9" customFormat="1" ht="12.75" customHeight="1">
      <c r="G158" s="10"/>
      <c r="I158" s="10"/>
      <c r="J158" s="10"/>
      <c r="K158" s="86"/>
      <c r="M158" s="11"/>
    </row>
    <row r="159" spans="7:13" s="9" customFormat="1" ht="12.75" customHeight="1">
      <c r="G159" s="10"/>
      <c r="I159" s="10"/>
      <c r="J159" s="10"/>
      <c r="K159" s="86"/>
      <c r="M159" s="11"/>
    </row>
    <row r="160" spans="7:13" s="9" customFormat="1" ht="12.75" customHeight="1">
      <c r="G160" s="10"/>
      <c r="I160" s="10"/>
      <c r="J160" s="10"/>
      <c r="K160" s="86"/>
      <c r="M160" s="11"/>
    </row>
    <row r="161" spans="7:13" s="9" customFormat="1" ht="12.75" customHeight="1">
      <c r="G161" s="10"/>
      <c r="I161" s="10"/>
      <c r="J161" s="10"/>
      <c r="K161" s="86"/>
      <c r="M161" s="11"/>
    </row>
    <row r="162" spans="7:13" s="9" customFormat="1" ht="12.75" customHeight="1">
      <c r="G162" s="10"/>
      <c r="I162" s="10"/>
      <c r="J162" s="10"/>
      <c r="K162" s="86"/>
      <c r="M162" s="11"/>
    </row>
    <row r="163" spans="7:13" s="9" customFormat="1" ht="12.75" customHeight="1">
      <c r="G163" s="10"/>
      <c r="I163" s="10"/>
      <c r="J163" s="10"/>
      <c r="K163" s="86"/>
      <c r="M163" s="11"/>
    </row>
    <row r="164" spans="7:13" s="9" customFormat="1" ht="12.75" customHeight="1">
      <c r="G164" s="10"/>
      <c r="I164" s="10"/>
      <c r="J164" s="10"/>
      <c r="K164" s="86"/>
      <c r="M164" s="11"/>
    </row>
    <row r="165" spans="7:13" s="9" customFormat="1" ht="12.75" customHeight="1">
      <c r="G165" s="10"/>
      <c r="I165" s="10"/>
      <c r="J165" s="10"/>
      <c r="K165" s="86"/>
      <c r="M165" s="11"/>
    </row>
    <row r="166" spans="7:13" s="9" customFormat="1" ht="12.75" customHeight="1">
      <c r="G166" s="10"/>
      <c r="I166" s="10"/>
      <c r="J166" s="10"/>
      <c r="K166" s="86"/>
      <c r="M166" s="11"/>
    </row>
    <row r="167" spans="7:13" s="9" customFormat="1" ht="12.75" customHeight="1">
      <c r="G167" s="10"/>
      <c r="I167" s="10"/>
      <c r="J167" s="10"/>
      <c r="K167" s="86"/>
      <c r="M167" s="11"/>
    </row>
    <row r="168" spans="7:13" s="9" customFormat="1" ht="12.75" customHeight="1">
      <c r="G168" s="10"/>
      <c r="I168" s="10"/>
      <c r="J168" s="10"/>
      <c r="K168" s="86"/>
      <c r="M168" s="11"/>
    </row>
    <row r="169" spans="7:13" s="9" customFormat="1" ht="12.75" customHeight="1">
      <c r="G169" s="10"/>
      <c r="I169" s="10"/>
      <c r="J169" s="10"/>
      <c r="K169" s="86"/>
      <c r="M169" s="11"/>
    </row>
    <row r="170" spans="7:13" s="9" customFormat="1" ht="12.75" customHeight="1">
      <c r="G170" s="10"/>
      <c r="I170" s="10"/>
      <c r="J170" s="10"/>
      <c r="K170" s="86"/>
      <c r="M170" s="11"/>
    </row>
    <row r="171" spans="7:13" s="9" customFormat="1" ht="12.75" customHeight="1">
      <c r="G171" s="10"/>
      <c r="I171" s="10"/>
      <c r="J171" s="10"/>
      <c r="K171" s="86"/>
      <c r="M171" s="11"/>
    </row>
    <row r="172" spans="7:13" s="9" customFormat="1" ht="12.75" customHeight="1">
      <c r="G172" s="10"/>
      <c r="I172" s="10"/>
      <c r="J172" s="10"/>
      <c r="K172" s="86"/>
      <c r="M172" s="11"/>
    </row>
    <row r="173" spans="7:13" s="9" customFormat="1" ht="12.75" customHeight="1">
      <c r="G173" s="10"/>
      <c r="I173" s="10"/>
      <c r="J173" s="10"/>
      <c r="K173" s="86"/>
      <c r="M173" s="11"/>
    </row>
    <row r="174" spans="7:13" s="9" customFormat="1" ht="12.75" customHeight="1">
      <c r="G174" s="10"/>
      <c r="I174" s="10"/>
      <c r="J174" s="10"/>
      <c r="K174" s="86"/>
      <c r="M174" s="11"/>
    </row>
    <row r="175" spans="7:13" s="9" customFormat="1" ht="12.75" customHeight="1">
      <c r="G175" s="10"/>
      <c r="I175" s="10"/>
      <c r="J175" s="10"/>
      <c r="K175" s="86"/>
      <c r="M175" s="11"/>
    </row>
    <row r="176" spans="7:13" s="9" customFormat="1" ht="12.75" customHeight="1">
      <c r="G176" s="10"/>
      <c r="I176" s="10"/>
      <c r="J176" s="10"/>
      <c r="K176" s="86"/>
      <c r="M176" s="11"/>
    </row>
    <row r="177" spans="7:13" s="9" customFormat="1" ht="12.75" customHeight="1">
      <c r="G177" s="10"/>
      <c r="I177" s="10"/>
      <c r="J177" s="10"/>
      <c r="K177" s="86"/>
      <c r="M177" s="11"/>
    </row>
    <row r="178" spans="7:13" s="9" customFormat="1" ht="12.75" customHeight="1">
      <c r="G178" s="10"/>
      <c r="I178" s="10"/>
      <c r="J178" s="10"/>
      <c r="K178" s="86"/>
      <c r="M178" s="11"/>
    </row>
    <row r="179" spans="7:13" s="9" customFormat="1" ht="12.75" customHeight="1">
      <c r="G179" s="10"/>
      <c r="I179" s="10"/>
      <c r="J179" s="10"/>
      <c r="K179" s="86"/>
      <c r="M179" s="11"/>
    </row>
    <row r="180" spans="7:13" s="9" customFormat="1" ht="12.75" customHeight="1">
      <c r="G180" s="10"/>
      <c r="I180" s="10"/>
      <c r="J180" s="10"/>
      <c r="K180" s="86"/>
      <c r="M180" s="11"/>
    </row>
    <row r="181" spans="7:13" s="9" customFormat="1" ht="12.75" customHeight="1">
      <c r="G181" s="10"/>
      <c r="I181" s="10"/>
      <c r="J181" s="10"/>
      <c r="K181" s="86"/>
      <c r="M181" s="11"/>
    </row>
    <row r="182" spans="7:13" s="9" customFormat="1" ht="12.75" customHeight="1">
      <c r="G182" s="10"/>
      <c r="I182" s="10"/>
      <c r="J182" s="10"/>
      <c r="K182" s="86"/>
      <c r="M182" s="11"/>
    </row>
    <row r="183" spans="7:13" s="9" customFormat="1" ht="12.75" customHeight="1">
      <c r="G183" s="10"/>
      <c r="I183" s="10"/>
      <c r="J183" s="10"/>
      <c r="K183" s="86"/>
      <c r="M183" s="11"/>
    </row>
    <row r="184" spans="7:13" s="9" customFormat="1" ht="12.75" customHeight="1">
      <c r="G184" s="10"/>
      <c r="I184" s="10"/>
      <c r="J184" s="10"/>
      <c r="K184" s="86"/>
      <c r="M184" s="11"/>
    </row>
    <row r="185" spans="7:13" s="9" customFormat="1" ht="12.75" customHeight="1">
      <c r="G185" s="10"/>
      <c r="I185" s="10"/>
      <c r="J185" s="10"/>
      <c r="K185" s="86"/>
      <c r="M185" s="11"/>
    </row>
    <row r="186" spans="7:13" s="9" customFormat="1" ht="12.75" customHeight="1">
      <c r="G186" s="10"/>
      <c r="I186" s="10"/>
      <c r="J186" s="10"/>
      <c r="K186" s="86"/>
      <c r="M186" s="11"/>
    </row>
    <row r="187" spans="7:13" s="9" customFormat="1" ht="12.75" customHeight="1">
      <c r="G187" s="10"/>
      <c r="I187" s="10"/>
      <c r="J187" s="10"/>
      <c r="K187" s="86"/>
      <c r="M187" s="11"/>
    </row>
    <row r="188" spans="7:13" s="9" customFormat="1" ht="12.75" customHeight="1">
      <c r="G188" s="10"/>
      <c r="I188" s="10"/>
      <c r="J188" s="10"/>
      <c r="K188" s="86"/>
      <c r="M188" s="11"/>
    </row>
    <row r="189" spans="7:13" s="9" customFormat="1" ht="12.75" customHeight="1">
      <c r="G189" s="10"/>
      <c r="I189" s="10"/>
      <c r="J189" s="10"/>
      <c r="K189" s="86"/>
      <c r="M189" s="11"/>
    </row>
    <row r="190" spans="7:13" s="9" customFormat="1" ht="12.75" customHeight="1">
      <c r="G190" s="10"/>
      <c r="I190" s="10"/>
      <c r="J190" s="10"/>
      <c r="K190" s="86"/>
      <c r="M190" s="11"/>
    </row>
    <row r="191" spans="7:13" s="9" customFormat="1" ht="12.75" customHeight="1">
      <c r="G191" s="10"/>
      <c r="I191" s="10"/>
      <c r="J191" s="10"/>
      <c r="K191" s="86"/>
      <c r="M191" s="11"/>
    </row>
    <row r="192" spans="7:13" s="9" customFormat="1" ht="12.75" customHeight="1">
      <c r="G192" s="10"/>
      <c r="I192" s="10"/>
      <c r="J192" s="10"/>
      <c r="K192" s="86"/>
      <c r="M192" s="11"/>
    </row>
    <row r="193" spans="7:13" s="9" customFormat="1" ht="12.75" customHeight="1">
      <c r="G193" s="10"/>
      <c r="I193" s="10"/>
      <c r="J193" s="10"/>
      <c r="K193" s="86"/>
      <c r="M193" s="11"/>
    </row>
    <row r="194" spans="7:13" s="9" customFormat="1" ht="12.75" customHeight="1">
      <c r="G194" s="10"/>
      <c r="I194" s="10"/>
      <c r="J194" s="10"/>
      <c r="K194" s="86"/>
      <c r="M194" s="11"/>
    </row>
    <row r="195" spans="7:13" s="9" customFormat="1" ht="12.75" customHeight="1">
      <c r="G195" s="10"/>
      <c r="I195" s="10"/>
      <c r="J195" s="10"/>
      <c r="K195" s="86"/>
      <c r="M195" s="11"/>
    </row>
    <row r="196" spans="7:13" s="9" customFormat="1" ht="12.75" customHeight="1">
      <c r="G196" s="10"/>
      <c r="I196" s="10"/>
      <c r="J196" s="10"/>
      <c r="K196" s="86"/>
      <c r="M196" s="11"/>
    </row>
    <row r="197" spans="7:13" s="9" customFormat="1" ht="12.75" customHeight="1">
      <c r="G197" s="10"/>
      <c r="I197" s="10"/>
      <c r="J197" s="10"/>
      <c r="K197" s="86"/>
      <c r="M197" s="11"/>
    </row>
    <row r="198" spans="7:13" s="9" customFormat="1" ht="12.75" customHeight="1">
      <c r="G198" s="10"/>
      <c r="I198" s="10"/>
      <c r="J198" s="10"/>
      <c r="K198" s="86"/>
      <c r="M198" s="11"/>
    </row>
    <row r="199" spans="7:13" s="9" customFormat="1" ht="12.75" customHeight="1">
      <c r="G199" s="10"/>
      <c r="I199" s="10"/>
      <c r="J199" s="10"/>
      <c r="K199" s="86"/>
      <c r="M199" s="11"/>
    </row>
    <row r="200" spans="7:13" s="9" customFormat="1" ht="12.75" customHeight="1">
      <c r="G200" s="10"/>
      <c r="I200" s="10"/>
      <c r="J200" s="10"/>
      <c r="K200" s="86"/>
      <c r="M200" s="11"/>
    </row>
    <row r="201" spans="7:13" s="9" customFormat="1" ht="12.75" customHeight="1">
      <c r="G201" s="10"/>
      <c r="I201" s="10"/>
      <c r="J201" s="10"/>
      <c r="K201" s="86"/>
      <c r="M201" s="11"/>
    </row>
    <row r="202" spans="7:13" s="9" customFormat="1" ht="12.75" customHeight="1">
      <c r="G202" s="10"/>
      <c r="I202" s="10"/>
      <c r="J202" s="10"/>
      <c r="K202" s="86"/>
      <c r="M202" s="11"/>
    </row>
    <row r="203" spans="7:13" s="9" customFormat="1" ht="12.75" customHeight="1">
      <c r="G203" s="10"/>
      <c r="I203" s="10"/>
      <c r="J203" s="10"/>
      <c r="K203" s="86"/>
      <c r="M203" s="11"/>
    </row>
    <row r="204" spans="7:13" s="9" customFormat="1" ht="12.75" customHeight="1">
      <c r="G204" s="10"/>
      <c r="I204" s="10"/>
      <c r="J204" s="10"/>
      <c r="K204" s="86"/>
      <c r="M204" s="11"/>
    </row>
    <row r="205" spans="7:13" s="9" customFormat="1" ht="12.75" customHeight="1">
      <c r="G205" s="10"/>
      <c r="I205" s="10"/>
      <c r="J205" s="10"/>
      <c r="K205" s="86"/>
      <c r="M205" s="11"/>
    </row>
    <row r="206" spans="7:13" s="9" customFormat="1" ht="12.75" customHeight="1">
      <c r="G206" s="10"/>
      <c r="I206" s="10"/>
      <c r="J206" s="10"/>
      <c r="K206" s="86"/>
      <c r="M206" s="11"/>
    </row>
    <row r="207" spans="7:13" s="9" customFormat="1" ht="12.75" customHeight="1">
      <c r="G207" s="10"/>
      <c r="I207" s="10"/>
      <c r="J207" s="10"/>
      <c r="K207" s="86"/>
      <c r="M207" s="11"/>
    </row>
    <row r="208" spans="7:13" s="9" customFormat="1" ht="12.75" customHeight="1">
      <c r="G208" s="10"/>
      <c r="I208" s="10"/>
      <c r="J208" s="10"/>
      <c r="K208" s="86"/>
      <c r="M208" s="11"/>
    </row>
    <row r="209" spans="7:13" s="9" customFormat="1" ht="12.75" customHeight="1">
      <c r="G209" s="10"/>
      <c r="I209" s="10"/>
      <c r="J209" s="10"/>
      <c r="K209" s="86"/>
      <c r="M209" s="11"/>
    </row>
    <row r="210" spans="7:13" s="9" customFormat="1" ht="12.75" customHeight="1">
      <c r="G210" s="10"/>
      <c r="I210" s="10"/>
      <c r="J210" s="10"/>
      <c r="K210" s="86"/>
      <c r="M210" s="11"/>
    </row>
    <row r="211" spans="7:13" s="9" customFormat="1" ht="12.75" customHeight="1">
      <c r="G211" s="10"/>
      <c r="I211" s="10"/>
      <c r="J211" s="10"/>
      <c r="K211" s="86"/>
      <c r="M211" s="11"/>
    </row>
    <row r="212" spans="7:13" s="9" customFormat="1" ht="12.75" customHeight="1">
      <c r="G212" s="10"/>
      <c r="I212" s="10"/>
      <c r="J212" s="10"/>
      <c r="K212" s="86"/>
      <c r="M212" s="11"/>
    </row>
    <row r="213" spans="7:13" s="9" customFormat="1" ht="12.75" customHeight="1">
      <c r="G213" s="10"/>
      <c r="I213" s="10"/>
      <c r="J213" s="10"/>
      <c r="K213" s="86"/>
      <c r="M213" s="11"/>
    </row>
    <row r="214" spans="7:13" s="9" customFormat="1" ht="12.75" customHeight="1">
      <c r="G214" s="10"/>
      <c r="I214" s="10"/>
      <c r="J214" s="10"/>
      <c r="K214" s="86"/>
      <c r="M214" s="11"/>
    </row>
    <row r="215" spans="7:13" s="9" customFormat="1" ht="12.75" customHeight="1">
      <c r="G215" s="10"/>
      <c r="I215" s="10"/>
      <c r="J215" s="10"/>
      <c r="K215" s="86"/>
      <c r="M215" s="11"/>
    </row>
    <row r="216" spans="7:13" s="9" customFormat="1" ht="12.75" customHeight="1">
      <c r="G216" s="10"/>
      <c r="I216" s="10"/>
      <c r="J216" s="10"/>
      <c r="K216" s="86"/>
      <c r="M216" s="11"/>
    </row>
    <row r="217" spans="7:13" s="9" customFormat="1" ht="12.75" customHeight="1">
      <c r="G217" s="10"/>
      <c r="I217" s="10"/>
      <c r="J217" s="10"/>
      <c r="K217" s="86"/>
      <c r="M217" s="11"/>
    </row>
    <row r="218" spans="7:13" s="9" customFormat="1" ht="12.75" customHeight="1">
      <c r="G218" s="10"/>
      <c r="I218" s="10"/>
      <c r="J218" s="10"/>
      <c r="K218" s="86"/>
      <c r="M218" s="11"/>
    </row>
    <row r="219" spans="7:13" s="9" customFormat="1" ht="12.75" customHeight="1">
      <c r="G219" s="10"/>
      <c r="I219" s="10"/>
      <c r="J219" s="10"/>
      <c r="K219" s="86"/>
      <c r="M219" s="11"/>
    </row>
    <row r="220" spans="7:13" s="9" customFormat="1" ht="12.75" customHeight="1">
      <c r="G220" s="10"/>
      <c r="I220" s="10"/>
      <c r="J220" s="10"/>
      <c r="K220" s="86"/>
      <c r="M220" s="11"/>
    </row>
    <row r="221" spans="7:13" s="9" customFormat="1" ht="12.75" customHeight="1">
      <c r="G221" s="10"/>
      <c r="I221" s="10"/>
      <c r="J221" s="10"/>
      <c r="K221" s="86"/>
      <c r="M221" s="11"/>
    </row>
    <row r="222" spans="7:13" s="9" customFormat="1" ht="12.75" customHeight="1">
      <c r="G222" s="10"/>
      <c r="I222" s="10"/>
      <c r="J222" s="10"/>
      <c r="K222" s="86"/>
      <c r="M222" s="11"/>
    </row>
    <row r="223" spans="7:13" s="9" customFormat="1" ht="12.75" customHeight="1">
      <c r="G223" s="10"/>
      <c r="I223" s="10"/>
      <c r="J223" s="10"/>
      <c r="K223" s="86"/>
      <c r="M223" s="11"/>
    </row>
    <row r="224" spans="7:13" s="9" customFormat="1" ht="12.75" customHeight="1">
      <c r="G224" s="10"/>
      <c r="I224" s="10"/>
      <c r="J224" s="10"/>
      <c r="K224" s="86"/>
      <c r="M224" s="11"/>
    </row>
    <row r="225" spans="7:13" s="9" customFormat="1" ht="12.75" customHeight="1">
      <c r="G225" s="10"/>
      <c r="I225" s="10"/>
      <c r="J225" s="10"/>
      <c r="K225" s="86"/>
      <c r="M225" s="11"/>
    </row>
    <row r="226" spans="7:13" s="9" customFormat="1" ht="12.75" customHeight="1">
      <c r="G226" s="10"/>
      <c r="I226" s="10"/>
      <c r="J226" s="10"/>
      <c r="K226" s="86"/>
      <c r="M226" s="11"/>
    </row>
    <row r="227" spans="7:13" s="9" customFormat="1" ht="12.75" customHeight="1">
      <c r="G227" s="10"/>
      <c r="I227" s="10"/>
      <c r="J227" s="10"/>
      <c r="K227" s="86"/>
      <c r="M227" s="11"/>
    </row>
    <row r="228" spans="7:13" s="9" customFormat="1" ht="12.75" customHeight="1">
      <c r="G228" s="10"/>
      <c r="I228" s="10"/>
      <c r="J228" s="10"/>
      <c r="K228" s="86"/>
      <c r="M228" s="11"/>
    </row>
    <row r="229" spans="7:13" s="9" customFormat="1" ht="12.75" customHeight="1">
      <c r="G229" s="10"/>
      <c r="I229" s="10"/>
      <c r="J229" s="10"/>
      <c r="K229" s="86"/>
      <c r="M229" s="11"/>
    </row>
    <row r="230" spans="7:13" s="9" customFormat="1" ht="12.75" customHeight="1">
      <c r="G230" s="10"/>
      <c r="I230" s="10"/>
      <c r="J230" s="10"/>
      <c r="K230" s="86"/>
      <c r="M230" s="11"/>
    </row>
    <row r="231" spans="7:13" s="9" customFormat="1" ht="12.75" customHeight="1">
      <c r="G231" s="10"/>
      <c r="I231" s="10"/>
      <c r="J231" s="10"/>
      <c r="K231" s="86"/>
      <c r="M231" s="11"/>
    </row>
    <row r="232" spans="7:13" s="9" customFormat="1" ht="12.75" customHeight="1">
      <c r="G232" s="10"/>
      <c r="I232" s="10"/>
      <c r="J232" s="10"/>
      <c r="K232" s="86"/>
      <c r="M232" s="11"/>
    </row>
    <row r="233" spans="7:13" s="9" customFormat="1" ht="12.75" customHeight="1">
      <c r="G233" s="10"/>
      <c r="I233" s="10"/>
      <c r="J233" s="10"/>
      <c r="K233" s="86"/>
      <c r="M233" s="11"/>
    </row>
    <row r="234" spans="7:13" s="9" customFormat="1" ht="12.75" customHeight="1">
      <c r="G234" s="10"/>
      <c r="I234" s="10"/>
      <c r="J234" s="10"/>
      <c r="K234" s="86"/>
      <c r="M234" s="11"/>
    </row>
    <row r="235" spans="7:13" s="9" customFormat="1" ht="12.75" customHeight="1">
      <c r="G235" s="10"/>
      <c r="I235" s="10"/>
      <c r="J235" s="10"/>
      <c r="K235" s="86"/>
      <c r="M235" s="11"/>
    </row>
    <row r="236" spans="7:13" s="9" customFormat="1" ht="12.75" customHeight="1">
      <c r="G236" s="10"/>
      <c r="I236" s="10"/>
      <c r="J236" s="10"/>
      <c r="K236" s="86"/>
      <c r="M236" s="11"/>
    </row>
    <row r="237" spans="7:13" s="9" customFormat="1" ht="12.75" customHeight="1">
      <c r="G237" s="10"/>
      <c r="I237" s="10"/>
      <c r="J237" s="10"/>
      <c r="K237" s="86"/>
      <c r="M237" s="11"/>
    </row>
    <row r="238" spans="7:13" s="9" customFormat="1" ht="12.75" customHeight="1">
      <c r="G238" s="10"/>
      <c r="I238" s="10"/>
      <c r="J238" s="10"/>
      <c r="K238" s="86"/>
      <c r="M238" s="11"/>
    </row>
    <row r="239" spans="7:13" s="9" customFormat="1" ht="12.75" customHeight="1">
      <c r="G239" s="10"/>
      <c r="I239" s="10"/>
      <c r="J239" s="10"/>
      <c r="K239" s="86"/>
      <c r="M239" s="11"/>
    </row>
    <row r="240" spans="7:13" s="9" customFormat="1" ht="12.75" customHeight="1">
      <c r="G240" s="10"/>
      <c r="I240" s="10"/>
      <c r="J240" s="10"/>
      <c r="K240" s="86"/>
      <c r="M240" s="11"/>
    </row>
    <row r="241" spans="7:13" s="9" customFormat="1" ht="12.75" customHeight="1">
      <c r="G241" s="10"/>
      <c r="I241" s="10"/>
      <c r="J241" s="10"/>
      <c r="K241" s="86"/>
      <c r="M241" s="11"/>
    </row>
    <row r="242" spans="7:13" s="9" customFormat="1" ht="12.75" customHeight="1">
      <c r="G242" s="10"/>
      <c r="I242" s="10"/>
      <c r="J242" s="10"/>
      <c r="K242" s="86"/>
      <c r="M242" s="11"/>
    </row>
    <row r="243" spans="7:13" s="9" customFormat="1" ht="12.75" customHeight="1">
      <c r="G243" s="10"/>
      <c r="I243" s="10"/>
      <c r="J243" s="10"/>
      <c r="K243" s="86"/>
      <c r="M243" s="11"/>
    </row>
    <row r="244" spans="7:13" s="9" customFormat="1" ht="12.75" customHeight="1">
      <c r="G244" s="10"/>
      <c r="I244" s="10"/>
      <c r="J244" s="10"/>
      <c r="K244" s="86"/>
      <c r="M244" s="11"/>
    </row>
    <row r="245" spans="7:13" s="9" customFormat="1" ht="12.75" customHeight="1">
      <c r="G245" s="10"/>
      <c r="I245" s="10"/>
      <c r="J245" s="10"/>
      <c r="K245" s="86"/>
      <c r="M245" s="11"/>
    </row>
    <row r="246" spans="7:13" s="9" customFormat="1" ht="12.75" customHeight="1">
      <c r="G246" s="10"/>
      <c r="I246" s="10"/>
      <c r="J246" s="10"/>
      <c r="K246" s="86"/>
      <c r="M246" s="11"/>
    </row>
    <row r="247" spans="7:13" s="9" customFormat="1" ht="12.75" customHeight="1">
      <c r="G247" s="10"/>
      <c r="I247" s="10"/>
      <c r="J247" s="10"/>
      <c r="K247" s="86"/>
      <c r="M247" s="11"/>
    </row>
    <row r="248" spans="7:13" s="9" customFormat="1" ht="12.75" customHeight="1">
      <c r="G248" s="10"/>
      <c r="I248" s="10"/>
      <c r="J248" s="10"/>
      <c r="K248" s="86"/>
      <c r="M248" s="11"/>
    </row>
    <row r="249" spans="7:13" s="9" customFormat="1" ht="12.75" customHeight="1">
      <c r="G249" s="10"/>
      <c r="I249" s="10"/>
      <c r="J249" s="10"/>
      <c r="K249" s="86"/>
      <c r="M249" s="11"/>
    </row>
    <row r="250" spans="7:13" s="9" customFormat="1" ht="12.75" customHeight="1">
      <c r="G250" s="10"/>
      <c r="I250" s="10"/>
      <c r="J250" s="10"/>
      <c r="K250" s="86"/>
      <c r="M250" s="11"/>
    </row>
    <row r="251" spans="7:13" s="9" customFormat="1" ht="12.75" customHeight="1">
      <c r="G251" s="10"/>
      <c r="I251" s="10"/>
      <c r="J251" s="10"/>
      <c r="K251" s="86"/>
      <c r="M251" s="11"/>
    </row>
    <row r="252" spans="7:13" s="9" customFormat="1" ht="12.75" customHeight="1">
      <c r="G252" s="10"/>
      <c r="I252" s="10"/>
      <c r="J252" s="10"/>
      <c r="K252" s="86"/>
      <c r="M252" s="11"/>
    </row>
    <row r="253" spans="7:13" s="9" customFormat="1" ht="12.75" customHeight="1">
      <c r="G253" s="10"/>
      <c r="I253" s="10"/>
      <c r="J253" s="10"/>
      <c r="K253" s="86"/>
      <c r="M253" s="11"/>
    </row>
    <row r="254" spans="7:13" s="9" customFormat="1" ht="12.75" customHeight="1">
      <c r="G254" s="10"/>
      <c r="I254" s="10"/>
      <c r="J254" s="10"/>
      <c r="K254" s="86"/>
      <c r="M254" s="11"/>
    </row>
    <row r="255" spans="7:13" s="9" customFormat="1" ht="12.75" customHeight="1">
      <c r="G255" s="10"/>
      <c r="I255" s="10"/>
      <c r="J255" s="10"/>
      <c r="K255" s="86"/>
      <c r="M255" s="11"/>
    </row>
    <row r="256" spans="7:13" s="9" customFormat="1" ht="12.75" customHeight="1">
      <c r="G256" s="10"/>
      <c r="I256" s="10"/>
      <c r="J256" s="10"/>
      <c r="K256" s="86"/>
      <c r="M256" s="11"/>
    </row>
    <row r="257" spans="7:13" s="9" customFormat="1" ht="12.75" customHeight="1">
      <c r="G257" s="10"/>
      <c r="I257" s="10"/>
      <c r="J257" s="10"/>
      <c r="K257" s="86"/>
      <c r="M257" s="11"/>
    </row>
    <row r="258" spans="7:13" s="9" customFormat="1" ht="12.75" customHeight="1">
      <c r="G258" s="10"/>
      <c r="I258" s="10"/>
      <c r="J258" s="10"/>
      <c r="K258" s="86"/>
      <c r="M258" s="11"/>
    </row>
    <row r="259" spans="7:13" s="9" customFormat="1" ht="12.75" customHeight="1">
      <c r="G259" s="10"/>
      <c r="I259" s="10"/>
      <c r="J259" s="10"/>
      <c r="K259" s="86"/>
      <c r="M259" s="11"/>
    </row>
    <row r="260" spans="7:13" s="9" customFormat="1" ht="12.75" customHeight="1">
      <c r="G260" s="10"/>
      <c r="I260" s="10"/>
      <c r="J260" s="10"/>
      <c r="K260" s="86"/>
      <c r="M260" s="11"/>
    </row>
    <row r="261" spans="7:13" s="9" customFormat="1" ht="12.75" customHeight="1">
      <c r="G261" s="10"/>
      <c r="I261" s="10"/>
      <c r="J261" s="10"/>
      <c r="K261" s="86"/>
      <c r="M261" s="11"/>
    </row>
    <row r="262" spans="7:13" s="9" customFormat="1" ht="12.75" customHeight="1">
      <c r="G262" s="10"/>
      <c r="I262" s="10"/>
      <c r="J262" s="10"/>
      <c r="K262" s="86"/>
      <c r="M262" s="11"/>
    </row>
    <row r="263" spans="7:13" s="9" customFormat="1" ht="12.75" customHeight="1">
      <c r="G263" s="10"/>
      <c r="I263" s="10"/>
      <c r="J263" s="10"/>
      <c r="K263" s="86"/>
      <c r="M263" s="11"/>
    </row>
    <row r="264" spans="7:13" s="9" customFormat="1" ht="12.75" customHeight="1">
      <c r="G264" s="10"/>
      <c r="I264" s="10"/>
      <c r="J264" s="10"/>
      <c r="K264" s="86"/>
      <c r="M264" s="11"/>
    </row>
    <row r="265" spans="7:13" s="9" customFormat="1" ht="12.75" customHeight="1">
      <c r="G265" s="10"/>
      <c r="I265" s="10"/>
      <c r="J265" s="10"/>
      <c r="K265" s="86"/>
      <c r="M265" s="11"/>
    </row>
    <row r="266" spans="7:13" s="9" customFormat="1" ht="12.75" customHeight="1">
      <c r="G266" s="10"/>
      <c r="I266" s="10"/>
      <c r="J266" s="10"/>
      <c r="K266" s="86"/>
      <c r="M266" s="11"/>
    </row>
    <row r="267" spans="7:13" s="9" customFormat="1" ht="12.75" customHeight="1">
      <c r="G267" s="10"/>
      <c r="I267" s="10"/>
      <c r="J267" s="10"/>
      <c r="K267" s="86"/>
      <c r="M267" s="11"/>
    </row>
    <row r="268" spans="7:13" s="9" customFormat="1" ht="12.75" customHeight="1">
      <c r="G268" s="10"/>
      <c r="I268" s="10"/>
      <c r="J268" s="10"/>
      <c r="K268" s="86"/>
      <c r="M268" s="11"/>
    </row>
    <row r="269" spans="7:13" s="9" customFormat="1" ht="12.75" customHeight="1">
      <c r="G269" s="10"/>
      <c r="I269" s="10"/>
      <c r="J269" s="10"/>
      <c r="K269" s="86"/>
      <c r="M269" s="11"/>
    </row>
    <row r="270" spans="7:13" s="9" customFormat="1" ht="12.75" customHeight="1">
      <c r="G270" s="10"/>
      <c r="I270" s="10"/>
      <c r="J270" s="10"/>
      <c r="K270" s="86"/>
      <c r="M270" s="11"/>
    </row>
    <row r="271" spans="7:13" s="9" customFormat="1" ht="12.75" customHeight="1">
      <c r="G271" s="10"/>
      <c r="I271" s="10"/>
      <c r="J271" s="10"/>
      <c r="K271" s="86"/>
      <c r="M271" s="11"/>
    </row>
    <row r="272" spans="7:13" s="9" customFormat="1" ht="12.75" customHeight="1">
      <c r="G272" s="10"/>
      <c r="I272" s="10"/>
      <c r="J272" s="10"/>
      <c r="K272" s="86"/>
      <c r="M272" s="11"/>
    </row>
    <row r="273" spans="7:13" s="9" customFormat="1" ht="12.75" customHeight="1">
      <c r="G273" s="10"/>
      <c r="I273" s="10"/>
      <c r="J273" s="10"/>
      <c r="K273" s="86"/>
      <c r="M273" s="11"/>
    </row>
    <row r="274" spans="7:13" s="9" customFormat="1" ht="12.75" customHeight="1">
      <c r="G274" s="10"/>
      <c r="I274" s="10"/>
      <c r="J274" s="10"/>
      <c r="K274" s="86"/>
      <c r="M274" s="11"/>
    </row>
    <row r="275" spans="7:13" s="9" customFormat="1" ht="12.75" customHeight="1">
      <c r="G275" s="10"/>
      <c r="I275" s="10"/>
      <c r="J275" s="10"/>
      <c r="K275" s="86"/>
      <c r="M275" s="11"/>
    </row>
    <row r="276" spans="7:13" s="9" customFormat="1" ht="12.75" customHeight="1">
      <c r="G276" s="10"/>
      <c r="I276" s="10"/>
      <c r="J276" s="10"/>
      <c r="K276" s="86"/>
      <c r="M276" s="11"/>
    </row>
    <row r="277" spans="7:13" s="9" customFormat="1" ht="12.75" customHeight="1">
      <c r="G277" s="10"/>
      <c r="I277" s="10"/>
      <c r="J277" s="10"/>
      <c r="K277" s="86"/>
      <c r="M277" s="11"/>
    </row>
    <row r="278" spans="7:13" s="9" customFormat="1" ht="12.75" customHeight="1">
      <c r="G278" s="10"/>
      <c r="I278" s="10"/>
      <c r="J278" s="10"/>
      <c r="K278" s="86"/>
      <c r="M278" s="11"/>
    </row>
    <row r="279" spans="7:13" s="9" customFormat="1" ht="12.75" customHeight="1">
      <c r="G279" s="10"/>
      <c r="I279" s="10"/>
      <c r="J279" s="10"/>
      <c r="K279" s="86"/>
      <c r="M279" s="11"/>
    </row>
    <row r="280" spans="7:13" s="9" customFormat="1" ht="12.75" customHeight="1">
      <c r="G280" s="10"/>
      <c r="I280" s="10"/>
      <c r="J280" s="10"/>
      <c r="K280" s="86"/>
      <c r="M280" s="11"/>
    </row>
    <row r="281" spans="7:13" s="9" customFormat="1" ht="12.75" customHeight="1">
      <c r="G281" s="10"/>
      <c r="I281" s="10"/>
      <c r="J281" s="10"/>
      <c r="K281" s="86"/>
      <c r="M281" s="11"/>
    </row>
    <row r="282" spans="7:13" s="9" customFormat="1" ht="12.75" customHeight="1">
      <c r="G282" s="10"/>
      <c r="I282" s="10"/>
      <c r="J282" s="10"/>
      <c r="K282" s="86"/>
      <c r="M282" s="11"/>
    </row>
    <row r="283" spans="7:13" s="9" customFormat="1" ht="12.75" customHeight="1">
      <c r="G283" s="10"/>
      <c r="I283" s="10"/>
      <c r="J283" s="10"/>
      <c r="K283" s="86"/>
      <c r="M283" s="11"/>
    </row>
    <row r="284" spans="7:13" s="9" customFormat="1" ht="12.75" customHeight="1">
      <c r="G284" s="10"/>
      <c r="I284" s="10"/>
      <c r="J284" s="10"/>
      <c r="K284" s="86"/>
      <c r="M284" s="11"/>
    </row>
    <row r="285" spans="7:13" s="9" customFormat="1" ht="12.75" customHeight="1">
      <c r="G285" s="10"/>
      <c r="I285" s="10"/>
      <c r="J285" s="10"/>
      <c r="K285" s="86"/>
      <c r="M285" s="11"/>
    </row>
    <row r="286" spans="7:13" s="9" customFormat="1" ht="12.75" customHeight="1">
      <c r="G286" s="10"/>
      <c r="I286" s="10"/>
      <c r="J286" s="10"/>
      <c r="K286" s="86"/>
      <c r="M286" s="11"/>
    </row>
    <row r="287" spans="7:13" s="9" customFormat="1" ht="12.75" customHeight="1">
      <c r="G287" s="10"/>
      <c r="I287" s="10"/>
      <c r="J287" s="10"/>
      <c r="K287" s="86"/>
      <c r="M287" s="11"/>
    </row>
    <row r="288" spans="7:13" s="9" customFormat="1" ht="12.75" customHeight="1">
      <c r="G288" s="10"/>
      <c r="I288" s="10"/>
      <c r="J288" s="10"/>
      <c r="K288" s="86"/>
      <c r="M288" s="11"/>
    </row>
    <row r="289" spans="7:13" s="9" customFormat="1" ht="12.75" customHeight="1">
      <c r="G289" s="10"/>
      <c r="I289" s="10"/>
      <c r="J289" s="10"/>
      <c r="K289" s="86"/>
      <c r="M289" s="11"/>
    </row>
    <row r="290" spans="7:13" s="9" customFormat="1" ht="12.75" customHeight="1">
      <c r="G290" s="10"/>
      <c r="I290" s="10"/>
      <c r="J290" s="10"/>
      <c r="K290" s="86"/>
      <c r="M290" s="11"/>
    </row>
    <row r="291" spans="7:13" s="9" customFormat="1" ht="12.75" customHeight="1">
      <c r="G291" s="10"/>
      <c r="I291" s="10"/>
      <c r="J291" s="10"/>
      <c r="K291" s="86"/>
      <c r="M291" s="11"/>
    </row>
    <row r="292" spans="7:13" s="9" customFormat="1" ht="12.75" customHeight="1">
      <c r="G292" s="10"/>
      <c r="I292" s="10"/>
      <c r="J292" s="10"/>
      <c r="K292" s="86"/>
      <c r="M292" s="11"/>
    </row>
    <row r="293" spans="7:13" s="9" customFormat="1" ht="12.75" customHeight="1">
      <c r="G293" s="10"/>
      <c r="I293" s="10"/>
      <c r="J293" s="10"/>
      <c r="K293" s="86"/>
      <c r="M293" s="11"/>
    </row>
    <row r="294" spans="7:13" s="9" customFormat="1" ht="12.75" customHeight="1">
      <c r="G294" s="10"/>
      <c r="I294" s="10"/>
      <c r="J294" s="10"/>
      <c r="K294" s="86"/>
      <c r="M294" s="11"/>
    </row>
    <row r="295" spans="7:13" s="9" customFormat="1" ht="12.75" customHeight="1">
      <c r="G295" s="10"/>
      <c r="I295" s="10"/>
      <c r="J295" s="10"/>
      <c r="K295" s="86"/>
      <c r="M295" s="11"/>
    </row>
    <row r="296" spans="7:13" s="9" customFormat="1" ht="12.75" customHeight="1">
      <c r="G296" s="10"/>
      <c r="I296" s="10"/>
      <c r="J296" s="10"/>
      <c r="K296" s="86"/>
      <c r="M296" s="11"/>
    </row>
    <row r="297" spans="7:13" s="9" customFormat="1" ht="12.75" customHeight="1">
      <c r="G297" s="10"/>
      <c r="I297" s="10"/>
      <c r="J297" s="10"/>
      <c r="K297" s="86"/>
      <c r="M297" s="11"/>
    </row>
    <row r="298" spans="7:13" s="9" customFormat="1" ht="12.75" customHeight="1">
      <c r="G298" s="10"/>
      <c r="I298" s="10"/>
      <c r="J298" s="10"/>
      <c r="K298" s="86"/>
      <c r="M298" s="11"/>
    </row>
    <row r="299" spans="7:13" s="9" customFormat="1" ht="12.75" customHeight="1">
      <c r="G299" s="10"/>
      <c r="I299" s="10"/>
      <c r="J299" s="10"/>
      <c r="K299" s="86"/>
      <c r="M299" s="11"/>
    </row>
    <row r="300" spans="7:13" s="9" customFormat="1" ht="12.75" customHeight="1">
      <c r="G300" s="10"/>
      <c r="I300" s="10"/>
      <c r="J300" s="10"/>
      <c r="K300" s="86"/>
      <c r="M300" s="11"/>
    </row>
    <row r="301" spans="7:13" s="9" customFormat="1" ht="12.75" customHeight="1">
      <c r="G301" s="10"/>
      <c r="I301" s="10"/>
      <c r="J301" s="10"/>
      <c r="K301" s="86"/>
      <c r="M301" s="11"/>
    </row>
    <row r="302" spans="7:13" s="9" customFormat="1" ht="12.75" customHeight="1">
      <c r="G302" s="10"/>
      <c r="I302" s="10"/>
      <c r="J302" s="10"/>
      <c r="K302" s="86"/>
      <c r="M302" s="11"/>
    </row>
    <row r="303" spans="7:13" s="9" customFormat="1" ht="12.75" customHeight="1">
      <c r="G303" s="10"/>
      <c r="I303" s="10"/>
      <c r="J303" s="10"/>
      <c r="K303" s="86"/>
      <c r="M303" s="11"/>
    </row>
    <row r="304" spans="7:13" s="9" customFormat="1" ht="12.75" customHeight="1">
      <c r="G304" s="10"/>
      <c r="I304" s="10"/>
      <c r="J304" s="10"/>
      <c r="K304" s="86"/>
      <c r="M304" s="11"/>
    </row>
    <row r="305" spans="7:13" s="9" customFormat="1" ht="12.75" customHeight="1">
      <c r="G305" s="10"/>
      <c r="I305" s="10"/>
      <c r="J305" s="10"/>
      <c r="K305" s="86"/>
      <c r="M305" s="11"/>
    </row>
    <row r="306" spans="7:13" s="9" customFormat="1" ht="12.75" customHeight="1">
      <c r="G306" s="10"/>
      <c r="I306" s="10"/>
      <c r="J306" s="10"/>
      <c r="K306" s="86"/>
      <c r="M306" s="11"/>
    </row>
    <row r="307" spans="7:13" s="9" customFormat="1" ht="12.75" customHeight="1">
      <c r="G307" s="10"/>
      <c r="I307" s="10"/>
      <c r="J307" s="10"/>
      <c r="K307" s="86"/>
      <c r="M307" s="11"/>
    </row>
    <row r="308" spans="7:13" s="9" customFormat="1" ht="12.75" customHeight="1">
      <c r="G308" s="10"/>
      <c r="I308" s="10"/>
      <c r="J308" s="10"/>
      <c r="K308" s="86"/>
      <c r="M308" s="11"/>
    </row>
    <row r="309" spans="7:13" s="9" customFormat="1" ht="12.75" customHeight="1">
      <c r="G309" s="10"/>
      <c r="I309" s="10"/>
      <c r="J309" s="10"/>
      <c r="K309" s="86"/>
      <c r="M309" s="11"/>
    </row>
    <row r="310" spans="7:13" s="9" customFormat="1" ht="12.75" customHeight="1">
      <c r="G310" s="10"/>
      <c r="I310" s="10"/>
      <c r="J310" s="10"/>
      <c r="K310" s="86"/>
      <c r="M310" s="11"/>
    </row>
    <row r="311" spans="7:13" s="9" customFormat="1" ht="12.75" customHeight="1">
      <c r="G311" s="10"/>
      <c r="I311" s="10"/>
      <c r="J311" s="10"/>
      <c r="K311" s="86"/>
      <c r="M311" s="11"/>
    </row>
    <row r="312" spans="7:13" s="9" customFormat="1" ht="12.75" customHeight="1">
      <c r="G312" s="10"/>
      <c r="I312" s="10"/>
      <c r="J312" s="10"/>
      <c r="K312" s="86"/>
      <c r="M312" s="11"/>
    </row>
    <row r="313" spans="7:13" s="9" customFormat="1" ht="12.75" customHeight="1">
      <c r="G313" s="10"/>
      <c r="I313" s="10"/>
      <c r="J313" s="10"/>
      <c r="K313" s="86"/>
      <c r="M313" s="11"/>
    </row>
    <row r="314" spans="7:13" s="9" customFormat="1" ht="12.75" customHeight="1">
      <c r="G314" s="10"/>
      <c r="I314" s="10"/>
      <c r="J314" s="10"/>
      <c r="K314" s="86"/>
      <c r="M314" s="11"/>
    </row>
    <row r="315" spans="7:13" s="9" customFormat="1" ht="12.75" customHeight="1">
      <c r="G315" s="10"/>
      <c r="I315" s="10"/>
      <c r="J315" s="10"/>
      <c r="K315" s="86"/>
      <c r="M315" s="11"/>
    </row>
    <row r="316" spans="7:13" s="9" customFormat="1" ht="12.75" customHeight="1">
      <c r="G316" s="10"/>
      <c r="I316" s="10"/>
      <c r="J316" s="10"/>
      <c r="K316" s="86"/>
      <c r="M316" s="11"/>
    </row>
    <row r="317" spans="7:13" s="9" customFormat="1" ht="12.75" customHeight="1">
      <c r="G317" s="10"/>
      <c r="I317" s="10"/>
      <c r="J317" s="10"/>
      <c r="K317" s="86"/>
      <c r="M317" s="11"/>
    </row>
    <row r="318" spans="7:13" s="9" customFormat="1" ht="12.75" customHeight="1">
      <c r="G318" s="10"/>
      <c r="I318" s="10"/>
      <c r="J318" s="10"/>
      <c r="K318" s="86"/>
      <c r="M318" s="11"/>
    </row>
    <row r="319" spans="7:13" s="9" customFormat="1" ht="12.75" customHeight="1">
      <c r="G319" s="10"/>
      <c r="I319" s="10"/>
      <c r="J319" s="10"/>
      <c r="K319" s="86"/>
      <c r="M319" s="11"/>
    </row>
    <row r="320" spans="7:13" s="9" customFormat="1" ht="12.75" customHeight="1">
      <c r="G320" s="10"/>
      <c r="I320" s="10"/>
      <c r="J320" s="10"/>
      <c r="K320" s="86"/>
      <c r="M320" s="11"/>
    </row>
    <row r="321" spans="7:13" s="9" customFormat="1" ht="12.75" customHeight="1">
      <c r="G321" s="10"/>
      <c r="I321" s="10"/>
      <c r="J321" s="10"/>
      <c r="K321" s="86"/>
      <c r="M321" s="11"/>
    </row>
    <row r="322" spans="7:13" s="9" customFormat="1" ht="12.75" customHeight="1">
      <c r="G322" s="10"/>
      <c r="I322" s="10"/>
      <c r="J322" s="10"/>
      <c r="K322" s="86"/>
      <c r="M322" s="11"/>
    </row>
    <row r="323" spans="7:13" s="9" customFormat="1" ht="12.75" customHeight="1">
      <c r="G323" s="10"/>
      <c r="I323" s="10"/>
      <c r="J323" s="10"/>
      <c r="K323" s="86"/>
      <c r="M323" s="11"/>
    </row>
    <row r="324" spans="7:13" s="9" customFormat="1" ht="12.75" customHeight="1">
      <c r="G324" s="10"/>
      <c r="I324" s="10"/>
      <c r="J324" s="10"/>
      <c r="K324" s="86"/>
      <c r="M324" s="11"/>
    </row>
    <row r="325" spans="7:13" s="9" customFormat="1" ht="12.75" customHeight="1">
      <c r="G325" s="10"/>
      <c r="I325" s="10"/>
      <c r="J325" s="10"/>
      <c r="K325" s="86"/>
      <c r="M325" s="11"/>
    </row>
    <row r="326" spans="7:13" s="9" customFormat="1" ht="12.75" customHeight="1">
      <c r="G326" s="10"/>
      <c r="I326" s="10"/>
      <c r="J326" s="10"/>
      <c r="K326" s="86"/>
      <c r="M326" s="11"/>
    </row>
    <row r="327" spans="7:13" s="9" customFormat="1" ht="12.75" customHeight="1">
      <c r="G327" s="10"/>
      <c r="I327" s="10"/>
      <c r="J327" s="10"/>
      <c r="K327" s="86"/>
      <c r="M327" s="11"/>
    </row>
    <row r="328" spans="7:13" s="9" customFormat="1" ht="12.75" customHeight="1">
      <c r="G328" s="10"/>
      <c r="I328" s="10"/>
      <c r="J328" s="10"/>
      <c r="K328" s="86"/>
      <c r="M328" s="11"/>
    </row>
    <row r="329" spans="7:13" s="9" customFormat="1" ht="12.75" customHeight="1">
      <c r="G329" s="10"/>
      <c r="I329" s="10"/>
      <c r="J329" s="10"/>
      <c r="K329" s="86"/>
      <c r="M329" s="11"/>
    </row>
    <row r="330" spans="7:13" s="9" customFormat="1" ht="12.75" customHeight="1">
      <c r="G330" s="10"/>
      <c r="I330" s="10"/>
      <c r="J330" s="10"/>
      <c r="K330" s="86"/>
      <c r="M330" s="11"/>
    </row>
    <row r="331" spans="7:13" s="9" customFormat="1" ht="12.75" customHeight="1">
      <c r="G331" s="10"/>
      <c r="I331" s="10"/>
      <c r="J331" s="10"/>
      <c r="K331" s="86"/>
      <c r="M331" s="11"/>
    </row>
    <row r="332" spans="7:13" s="9" customFormat="1" ht="12.75" customHeight="1">
      <c r="G332" s="10"/>
      <c r="I332" s="10"/>
      <c r="J332" s="10"/>
      <c r="K332" s="86"/>
      <c r="M332" s="11"/>
    </row>
    <row r="333" spans="7:13" s="9" customFormat="1" ht="12.75" customHeight="1">
      <c r="G333" s="10"/>
      <c r="I333" s="10"/>
      <c r="J333" s="10"/>
      <c r="K333" s="86"/>
      <c r="M333" s="11"/>
    </row>
    <row r="334" spans="7:13" s="9" customFormat="1" ht="12.75" customHeight="1">
      <c r="G334" s="10"/>
      <c r="I334" s="10"/>
      <c r="J334" s="10"/>
      <c r="K334" s="86"/>
      <c r="M334" s="11"/>
    </row>
    <row r="335" spans="7:13" s="9" customFormat="1" ht="12.75" customHeight="1">
      <c r="G335" s="10"/>
      <c r="I335" s="10"/>
      <c r="J335" s="10"/>
      <c r="K335" s="86"/>
      <c r="M335" s="11"/>
    </row>
    <row r="336" spans="7:13" s="9" customFormat="1" ht="12.75" customHeight="1">
      <c r="G336" s="10"/>
      <c r="I336" s="10"/>
      <c r="J336" s="10"/>
      <c r="K336" s="86"/>
      <c r="M336" s="11"/>
    </row>
    <row r="337" spans="7:13" s="9" customFormat="1" ht="12.75" customHeight="1">
      <c r="G337" s="10"/>
      <c r="I337" s="10"/>
      <c r="J337" s="10"/>
      <c r="K337" s="86"/>
      <c r="M337" s="11"/>
    </row>
    <row r="338" spans="7:13" s="9" customFormat="1" ht="12.75" customHeight="1">
      <c r="G338" s="10"/>
      <c r="I338" s="10"/>
      <c r="J338" s="10"/>
      <c r="K338" s="86"/>
      <c r="M338" s="11"/>
    </row>
    <row r="339" spans="7:13" s="9" customFormat="1" ht="12.75" customHeight="1">
      <c r="G339" s="10"/>
      <c r="I339" s="10"/>
      <c r="J339" s="10"/>
      <c r="K339" s="86"/>
      <c r="M339" s="11"/>
    </row>
    <row r="340" spans="7:13" s="9" customFormat="1" ht="12.75" customHeight="1">
      <c r="G340" s="10"/>
      <c r="I340" s="10"/>
      <c r="J340" s="10"/>
      <c r="K340" s="86"/>
      <c r="M340" s="11"/>
    </row>
    <row r="341" spans="7:13" s="9" customFormat="1" ht="12.75" customHeight="1">
      <c r="G341" s="10"/>
      <c r="I341" s="10"/>
      <c r="J341" s="10"/>
      <c r="K341" s="86"/>
      <c r="M341" s="11"/>
    </row>
    <row r="342" spans="7:13" s="9" customFormat="1" ht="12.75" customHeight="1">
      <c r="G342" s="10"/>
      <c r="I342" s="10"/>
      <c r="J342" s="10"/>
      <c r="K342" s="86"/>
      <c r="M342" s="11"/>
    </row>
    <row r="343" spans="7:13" s="9" customFormat="1" ht="12.75" customHeight="1">
      <c r="G343" s="10"/>
      <c r="I343" s="10"/>
      <c r="J343" s="10"/>
      <c r="K343" s="86"/>
      <c r="M343" s="11"/>
    </row>
    <row r="344" spans="7:13" s="9" customFormat="1" ht="12.75" customHeight="1">
      <c r="G344" s="10"/>
      <c r="I344" s="10"/>
      <c r="J344" s="10"/>
      <c r="K344" s="86"/>
      <c r="M344" s="11"/>
    </row>
    <row r="345" spans="7:13" s="9" customFormat="1" ht="12.75" customHeight="1">
      <c r="G345" s="10"/>
      <c r="I345" s="10"/>
      <c r="J345" s="10"/>
      <c r="K345" s="86"/>
      <c r="M345" s="11"/>
    </row>
    <row r="346" spans="7:13" s="9" customFormat="1" ht="12.75" customHeight="1">
      <c r="G346" s="10"/>
      <c r="I346" s="10"/>
      <c r="J346" s="10"/>
      <c r="K346" s="86"/>
      <c r="M346" s="11"/>
    </row>
    <row r="347" spans="7:13" s="9" customFormat="1" ht="12.75" customHeight="1">
      <c r="G347" s="10"/>
      <c r="I347" s="10"/>
      <c r="J347" s="10"/>
      <c r="K347" s="86"/>
      <c r="M347" s="11"/>
    </row>
    <row r="348" spans="7:13" s="9" customFormat="1" ht="12.75" customHeight="1">
      <c r="G348" s="10"/>
      <c r="I348" s="10"/>
      <c r="J348" s="10"/>
      <c r="K348" s="86"/>
      <c r="M348" s="11"/>
    </row>
    <row r="349" spans="7:13" s="9" customFormat="1" ht="12.75" customHeight="1">
      <c r="G349" s="10"/>
      <c r="I349" s="10"/>
      <c r="J349" s="10"/>
      <c r="K349" s="86"/>
      <c r="M349" s="11"/>
    </row>
    <row r="350" spans="7:13" s="9" customFormat="1" ht="12.75" customHeight="1">
      <c r="G350" s="10"/>
      <c r="I350" s="10"/>
      <c r="J350" s="10"/>
      <c r="K350" s="86"/>
      <c r="M350" s="11"/>
    </row>
    <row r="351" spans="7:13" s="9" customFormat="1" ht="12.75" customHeight="1">
      <c r="G351" s="10"/>
      <c r="I351" s="10"/>
      <c r="J351" s="10"/>
      <c r="K351" s="86"/>
      <c r="M351" s="11"/>
    </row>
    <row r="352" spans="7:13" s="9" customFormat="1" ht="12.75" customHeight="1">
      <c r="G352" s="10"/>
      <c r="I352" s="10"/>
      <c r="J352" s="10"/>
      <c r="K352" s="86"/>
      <c r="M352" s="11"/>
    </row>
    <row r="353" spans="7:13" s="9" customFormat="1" ht="12.75" customHeight="1">
      <c r="G353" s="10"/>
      <c r="I353" s="10"/>
      <c r="J353" s="10"/>
      <c r="K353" s="86"/>
      <c r="M353" s="11"/>
    </row>
    <row r="354" spans="7:13" s="9" customFormat="1" ht="12.75" customHeight="1">
      <c r="G354" s="10"/>
      <c r="I354" s="10"/>
      <c r="J354" s="10"/>
      <c r="K354" s="86"/>
      <c r="M354" s="11"/>
    </row>
    <row r="355" spans="7:13" s="9" customFormat="1" ht="12.75" customHeight="1">
      <c r="G355" s="10"/>
      <c r="I355" s="10"/>
      <c r="J355" s="10"/>
      <c r="K355" s="86"/>
      <c r="M355" s="11"/>
    </row>
    <row r="356" spans="7:13" s="9" customFormat="1" ht="12.75" customHeight="1">
      <c r="G356" s="10"/>
      <c r="I356" s="10"/>
      <c r="J356" s="10"/>
      <c r="K356" s="86"/>
      <c r="M356" s="11"/>
    </row>
    <row r="357" spans="7:13" s="9" customFormat="1" ht="12.75" customHeight="1">
      <c r="G357" s="10"/>
      <c r="I357" s="10"/>
      <c r="J357" s="10"/>
      <c r="K357" s="86"/>
      <c r="M357" s="11"/>
    </row>
    <row r="358" spans="7:13" s="9" customFormat="1" ht="12.75" customHeight="1">
      <c r="G358" s="10"/>
      <c r="I358" s="10"/>
      <c r="J358" s="10"/>
      <c r="K358" s="86"/>
      <c r="M358" s="11"/>
    </row>
    <row r="359" spans="7:13" s="9" customFormat="1" ht="12.75" customHeight="1">
      <c r="G359" s="10"/>
      <c r="I359" s="10"/>
      <c r="J359" s="10"/>
      <c r="K359" s="86"/>
      <c r="M359" s="11"/>
    </row>
    <row r="360" spans="7:13" s="9" customFormat="1" ht="12.75" customHeight="1">
      <c r="G360" s="10"/>
      <c r="I360" s="10"/>
      <c r="J360" s="10"/>
      <c r="K360" s="86"/>
      <c r="M360" s="11"/>
    </row>
    <row r="361" spans="7:13" s="9" customFormat="1" ht="12.75" customHeight="1">
      <c r="G361" s="10"/>
      <c r="I361" s="10"/>
      <c r="J361" s="10"/>
      <c r="K361" s="86"/>
      <c r="M361" s="11"/>
    </row>
    <row r="362" spans="7:13" s="9" customFormat="1" ht="12.75" customHeight="1">
      <c r="G362" s="10"/>
      <c r="I362" s="10"/>
      <c r="J362" s="10"/>
      <c r="K362" s="86"/>
      <c r="M362" s="11"/>
    </row>
    <row r="363" spans="7:13" s="9" customFormat="1" ht="12.75" customHeight="1">
      <c r="G363" s="10"/>
      <c r="I363" s="10"/>
      <c r="J363" s="10"/>
      <c r="K363" s="86"/>
      <c r="M363" s="11"/>
    </row>
    <row r="364" spans="7:13" s="9" customFormat="1" ht="12.75" customHeight="1">
      <c r="G364" s="10"/>
      <c r="I364" s="10"/>
      <c r="J364" s="10"/>
      <c r="K364" s="86"/>
      <c r="M364" s="11"/>
    </row>
    <row r="365" spans="7:13" s="9" customFormat="1" ht="12.75" customHeight="1">
      <c r="G365" s="10"/>
      <c r="I365" s="10"/>
      <c r="J365" s="10"/>
      <c r="K365" s="86"/>
      <c r="M365" s="11"/>
    </row>
    <row r="366" spans="7:13" s="9" customFormat="1" ht="12.75" customHeight="1">
      <c r="G366" s="10"/>
      <c r="I366" s="10"/>
      <c r="J366" s="10"/>
      <c r="K366" s="86"/>
      <c r="M366" s="11"/>
    </row>
    <row r="367" spans="7:13" s="9" customFormat="1" ht="12.75" customHeight="1">
      <c r="G367" s="10"/>
      <c r="I367" s="10"/>
      <c r="J367" s="10"/>
      <c r="K367" s="86"/>
      <c r="M367" s="11"/>
    </row>
    <row r="368" spans="7:13" s="9" customFormat="1" ht="12.75" customHeight="1">
      <c r="G368" s="10"/>
      <c r="I368" s="10"/>
      <c r="J368" s="10"/>
      <c r="K368" s="86"/>
      <c r="M368" s="11"/>
    </row>
    <row r="369" spans="7:13" s="9" customFormat="1" ht="12.75" customHeight="1">
      <c r="G369" s="10"/>
      <c r="I369" s="10"/>
      <c r="J369" s="10"/>
      <c r="K369" s="86"/>
      <c r="M369" s="11"/>
    </row>
    <row r="370" spans="7:13" s="9" customFormat="1" ht="12.75" customHeight="1">
      <c r="G370" s="10"/>
      <c r="I370" s="10"/>
      <c r="J370" s="10"/>
      <c r="K370" s="86"/>
      <c r="M370" s="11"/>
    </row>
    <row r="371" spans="7:13" s="9" customFormat="1" ht="12.75" customHeight="1">
      <c r="G371" s="10"/>
      <c r="I371" s="10"/>
      <c r="J371" s="10"/>
      <c r="K371" s="86"/>
      <c r="M371" s="11"/>
    </row>
    <row r="372" spans="7:13" s="9" customFormat="1" ht="12.75" customHeight="1">
      <c r="G372" s="10"/>
      <c r="I372" s="10"/>
      <c r="J372" s="10"/>
      <c r="K372" s="86"/>
      <c r="M372" s="11"/>
    </row>
    <row r="373" spans="7:13" s="9" customFormat="1" ht="12.75" customHeight="1">
      <c r="G373" s="10"/>
      <c r="I373" s="10"/>
      <c r="J373" s="10"/>
      <c r="K373" s="86"/>
      <c r="M373" s="11"/>
    </row>
    <row r="374" spans="7:13" s="9" customFormat="1" ht="12.75" customHeight="1">
      <c r="G374" s="10"/>
      <c r="I374" s="10"/>
      <c r="J374" s="10"/>
      <c r="K374" s="86"/>
      <c r="M374" s="11"/>
    </row>
    <row r="375" spans="7:13" s="9" customFormat="1" ht="12.75" customHeight="1">
      <c r="G375" s="10"/>
      <c r="I375" s="10"/>
      <c r="J375" s="10"/>
      <c r="K375" s="86"/>
      <c r="M375" s="11"/>
    </row>
    <row r="376" spans="7:13" s="9" customFormat="1" ht="12.75" customHeight="1">
      <c r="G376" s="10"/>
      <c r="I376" s="10"/>
      <c r="J376" s="10"/>
      <c r="K376" s="86"/>
      <c r="M376" s="11"/>
    </row>
    <row r="377" spans="7:13" s="9" customFormat="1" ht="12.75" customHeight="1">
      <c r="G377" s="10"/>
      <c r="I377" s="10"/>
      <c r="J377" s="10"/>
      <c r="K377" s="86"/>
      <c r="M377" s="11"/>
    </row>
    <row r="378" spans="7:13" s="9" customFormat="1" ht="12.75" customHeight="1">
      <c r="G378" s="10"/>
      <c r="I378" s="10"/>
      <c r="J378" s="10"/>
      <c r="K378" s="86"/>
      <c r="M378" s="11"/>
    </row>
    <row r="379" spans="7:13" s="9" customFormat="1" ht="12.75" customHeight="1">
      <c r="G379" s="10"/>
      <c r="I379" s="10"/>
      <c r="J379" s="10"/>
      <c r="K379" s="86"/>
      <c r="M379" s="11"/>
    </row>
    <row r="380" spans="7:13" s="9" customFormat="1" ht="12.75" customHeight="1">
      <c r="G380" s="10"/>
      <c r="I380" s="10"/>
      <c r="J380" s="10"/>
      <c r="K380" s="86"/>
      <c r="M380" s="11"/>
    </row>
    <row r="381" spans="7:13" s="9" customFormat="1" ht="12.75" customHeight="1">
      <c r="G381" s="10"/>
      <c r="I381" s="10"/>
      <c r="J381" s="10"/>
      <c r="K381" s="86"/>
      <c r="M381" s="11"/>
    </row>
    <row r="382" spans="7:13" s="9" customFormat="1" ht="12.75" customHeight="1">
      <c r="G382" s="10"/>
      <c r="I382" s="10"/>
      <c r="J382" s="10"/>
      <c r="K382" s="86"/>
      <c r="M382" s="11"/>
    </row>
    <row r="383" spans="7:13" s="9" customFormat="1" ht="12.75" customHeight="1">
      <c r="G383" s="10"/>
      <c r="I383" s="10"/>
      <c r="J383" s="10"/>
      <c r="K383" s="86"/>
      <c r="M383" s="11"/>
    </row>
    <row r="384" spans="7:13" s="9" customFormat="1" ht="12.75" customHeight="1">
      <c r="G384" s="10"/>
      <c r="I384" s="10"/>
      <c r="J384" s="10"/>
      <c r="K384" s="86"/>
      <c r="M384" s="11"/>
    </row>
    <row r="385" spans="7:13" s="9" customFormat="1" ht="12.75" customHeight="1">
      <c r="G385" s="10"/>
      <c r="I385" s="10"/>
      <c r="J385" s="10"/>
      <c r="K385" s="86"/>
      <c r="M385" s="11"/>
    </row>
    <row r="386" spans="7:13" s="9" customFormat="1" ht="12.75" customHeight="1">
      <c r="G386" s="10"/>
      <c r="I386" s="10"/>
      <c r="J386" s="10"/>
      <c r="K386" s="86"/>
      <c r="M386" s="11"/>
    </row>
  </sheetData>
  <printOptions gridLines="1" horizontalCentered="1"/>
  <pageMargins left="0.31496062992125984" right="0.31496062992125984" top="0.7086614173228347" bottom="0.3937007874015748" header="0.5118110236220472" footer="0.35433070866141736"/>
  <pageSetup fitToHeight="4" fitToWidth="3" orientation="landscape" paperSize="9" r:id="rId4"/>
  <headerFooter alignWithMargins="0">
    <oddHeader>&amp;C&amp;"Times New Roman Cyr,Regular"Теплотехнические расчеты согл.  СНИП-II-3-79*</oddHeader>
    <oddFooter>&amp;CPage &amp;P&amp;R&amp;D       &amp;T</oddFooter>
  </headerFooter>
  <colBreaks count="1" manualBreakCount="1">
    <brk id="9" max="65535" man="1"/>
  </colBreaks>
  <drawing r:id="rId3"/>
  <legacyDrawing r:id="rId2"/>
  <oleObjects>
    <oleObject progId="Equation.2" shapeId="12152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2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5.00390625" style="0" customWidth="1"/>
    <col min="2" max="2" width="38.57421875" style="0" customWidth="1"/>
    <col min="3" max="3" width="8.7109375" style="0" customWidth="1"/>
    <col min="4" max="4" width="7.57421875" style="0" customWidth="1"/>
    <col min="5" max="6" width="7.7109375" style="0" customWidth="1"/>
    <col min="7" max="7" width="7.7109375" style="1" customWidth="1"/>
    <col min="8" max="8" width="7.7109375" style="0" customWidth="1"/>
    <col min="9" max="10" width="7.7109375" style="1" customWidth="1"/>
    <col min="11" max="11" width="7.7109375" style="40" customWidth="1"/>
    <col min="12" max="12" width="5.7109375" style="0" customWidth="1"/>
    <col min="13" max="13" width="7.7109375" style="2" customWidth="1"/>
    <col min="14" max="14" width="7.140625" style="0" customWidth="1"/>
    <col min="15" max="15" width="7.28125" style="0" customWidth="1"/>
    <col min="16" max="16" width="4.421875" style="0" customWidth="1"/>
    <col min="17" max="17" width="6.28125" style="0" customWidth="1"/>
    <col min="18" max="18" width="5.8515625" style="0" customWidth="1"/>
    <col min="19" max="19" width="7.7109375" style="0" customWidth="1"/>
    <col min="20" max="20" width="9.28125" style="0" customWidth="1"/>
    <col min="21" max="21" width="3.140625" style="0" customWidth="1"/>
    <col min="22" max="22" width="2.140625" style="0" customWidth="1"/>
    <col min="23" max="23" width="3.8515625" style="0" customWidth="1"/>
    <col min="24" max="24" width="5.00390625" style="0" customWidth="1"/>
    <col min="25" max="25" width="4.421875" style="0" customWidth="1"/>
    <col min="26" max="26" width="5.421875" style="0" customWidth="1"/>
    <col min="27" max="27" width="7.8515625" style="0" customWidth="1"/>
    <col min="28" max="28" width="7.7109375" style="0" customWidth="1"/>
    <col min="29" max="29" width="7.00390625" style="0" customWidth="1"/>
    <col min="30" max="30" width="6.7109375" style="0" customWidth="1"/>
    <col min="31" max="31" width="6.28125" style="0" customWidth="1"/>
    <col min="32" max="32" width="3.140625" style="0" customWidth="1"/>
    <col min="33" max="33" width="5.28125" style="0" customWidth="1"/>
    <col min="34" max="34" width="5.140625" style="0" customWidth="1"/>
    <col min="35" max="35" width="5.8515625" style="0" customWidth="1"/>
    <col min="36" max="36" width="7.57421875" style="0" customWidth="1"/>
    <col min="37" max="37" width="12.421875" style="0" customWidth="1"/>
    <col min="38" max="38" width="13.00390625" style="0" customWidth="1"/>
    <col min="39" max="39" width="16.421875" style="0" customWidth="1"/>
    <col min="40" max="40" width="21.421875" style="0" customWidth="1"/>
  </cols>
  <sheetData>
    <row r="1" spans="3:48" s="109" customFormat="1" ht="12.75" customHeight="1">
      <c r="C1" s="601" t="s">
        <v>348</v>
      </c>
      <c r="G1" s="113"/>
      <c r="I1" s="113"/>
      <c r="J1" s="113"/>
      <c r="K1" s="121"/>
      <c r="M1" s="13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</row>
    <row r="2" spans="1:48" ht="12.75" customHeight="1">
      <c r="A2" s="162"/>
      <c r="B2" s="539"/>
      <c r="C2" s="172"/>
      <c r="D2" s="95"/>
      <c r="E2" s="95"/>
      <c r="F2" s="95"/>
      <c r="G2" s="96"/>
      <c r="H2" s="97"/>
      <c r="I2" s="96"/>
      <c r="J2" s="96"/>
      <c r="K2" s="98"/>
      <c r="L2" s="97"/>
      <c r="M2" s="99"/>
      <c r="N2" s="100"/>
      <c r="O2" s="95"/>
      <c r="P2" s="101"/>
      <c r="Q2" s="102"/>
      <c r="R2" s="102"/>
      <c r="S2" s="102"/>
      <c r="T2" s="102"/>
      <c r="U2" s="94"/>
      <c r="V2" s="6"/>
      <c r="W2" s="6"/>
      <c r="X2" s="6"/>
      <c r="Y2" s="6"/>
      <c r="Z2" s="6"/>
      <c r="AA2" s="6"/>
      <c r="AB2" s="6"/>
      <c r="AC2" s="6"/>
      <c r="AD2" s="6"/>
      <c r="AE2" s="6"/>
      <c r="AF2" s="631"/>
      <c r="AG2" s="498"/>
      <c r="AH2" s="498" t="s">
        <v>349</v>
      </c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</row>
    <row r="3" spans="1:48" ht="12.75" customHeight="1" thickBot="1">
      <c r="A3" s="162"/>
      <c r="B3" s="631" t="s">
        <v>350</v>
      </c>
      <c r="D3" s="165"/>
      <c r="E3" s="165"/>
      <c r="F3" s="165"/>
      <c r="G3" s="166"/>
      <c r="H3" s="165"/>
      <c r="I3" s="166"/>
      <c r="J3" s="166"/>
      <c r="K3" s="167"/>
      <c r="L3" s="168"/>
      <c r="M3" s="169"/>
      <c r="N3" s="170"/>
      <c r="O3" s="165"/>
      <c r="P3" s="101"/>
      <c r="Q3" s="102"/>
      <c r="R3" s="102"/>
      <c r="S3" s="102"/>
      <c r="T3" s="102"/>
      <c r="U3" s="103"/>
      <c r="V3" s="6"/>
      <c r="W3" s="6"/>
      <c r="X3" s="6"/>
      <c r="Y3" s="6"/>
      <c r="Z3" s="6"/>
      <c r="AA3" s="6"/>
      <c r="AB3" s="6"/>
      <c r="AC3" s="6"/>
      <c r="AD3" s="6"/>
      <c r="AE3" s="6"/>
      <c r="AF3" s="631"/>
      <c r="AG3" s="498"/>
      <c r="AH3" s="498"/>
      <c r="AI3" s="498"/>
      <c r="AJ3" s="498"/>
      <c r="AK3" s="498"/>
      <c r="AL3" s="498"/>
      <c r="AM3" s="498" t="s">
        <v>341</v>
      </c>
      <c r="AN3" s="498"/>
      <c r="AO3" s="498"/>
      <c r="AP3" s="498"/>
      <c r="AQ3" s="498"/>
      <c r="AR3" s="498"/>
      <c r="AS3" s="498"/>
      <c r="AT3" s="498"/>
      <c r="AU3" s="498"/>
      <c r="AV3" s="498"/>
    </row>
    <row r="4" spans="1:48" ht="12.75" customHeight="1" thickBot="1">
      <c r="A4" s="171"/>
      <c r="D4" s="171"/>
      <c r="F4" s="171"/>
      <c r="G4" s="173"/>
      <c r="H4" s="171"/>
      <c r="I4" s="173"/>
      <c r="J4" s="173"/>
      <c r="K4" s="174"/>
      <c r="L4" s="171"/>
      <c r="M4" s="175"/>
      <c r="N4" s="176"/>
      <c r="O4" s="176"/>
      <c r="P4" s="44"/>
      <c r="Q4" s="44"/>
      <c r="R4" s="44"/>
      <c r="S4" s="8"/>
      <c r="T4" s="7"/>
      <c r="U4" s="6"/>
      <c r="V4" s="6"/>
      <c r="W4" s="6"/>
      <c r="X4" s="44"/>
      <c r="Y4" s="59"/>
      <c r="Z4" s="59"/>
      <c r="AA4" s="59"/>
      <c r="AB4" s="59"/>
      <c r="AC4" s="59"/>
      <c r="AD4" s="59"/>
      <c r="AE4" s="44"/>
      <c r="AF4" s="631"/>
      <c r="AG4" s="499"/>
      <c r="AH4" s="877" t="s">
        <v>351</v>
      </c>
      <c r="AI4" s="878"/>
      <c r="AJ4" s="878"/>
      <c r="AK4" s="879"/>
      <c r="AL4" s="500">
        <v>12</v>
      </c>
      <c r="AM4" s="880">
        <f>1Tепло!Y28</f>
        <v>1</v>
      </c>
      <c r="AN4" s="499"/>
      <c r="AO4" s="498"/>
      <c r="AP4" s="498"/>
      <c r="AQ4" s="498"/>
      <c r="AR4" s="498"/>
      <c r="AS4" s="498"/>
      <c r="AT4" s="498"/>
      <c r="AU4" s="498"/>
      <c r="AV4" s="498"/>
    </row>
    <row r="5" spans="1:48" ht="12.75" customHeight="1" thickBot="1">
      <c r="A5" s="171"/>
      <c r="B5" s="177" t="s">
        <v>352</v>
      </c>
      <c r="C5" s="508"/>
      <c r="D5" s="431"/>
      <c r="E5" s="507"/>
      <c r="F5" s="508"/>
      <c r="G5" s="508"/>
      <c r="H5" s="508"/>
      <c r="I5" s="431"/>
      <c r="J5" s="509"/>
      <c r="K5" s="503"/>
      <c r="L5" s="431"/>
      <c r="M5" s="510"/>
      <c r="N5" s="176"/>
      <c r="O5" s="176"/>
      <c r="P5" s="44"/>
      <c r="Q5" s="44"/>
      <c r="R5" s="44"/>
      <c r="S5" s="8"/>
      <c r="T5" s="38"/>
      <c r="U5" s="6"/>
      <c r="V5" s="6"/>
      <c r="W5" s="6"/>
      <c r="X5" s="449"/>
      <c r="Y5" s="60"/>
      <c r="Z5" s="60"/>
      <c r="AA5" s="60"/>
      <c r="AB5" s="60"/>
      <c r="AC5" s="60"/>
      <c r="AD5" s="60"/>
      <c r="AE5" s="44"/>
      <c r="AF5" s="631"/>
      <c r="AG5" s="499"/>
      <c r="AH5" s="877" t="s">
        <v>353</v>
      </c>
      <c r="AI5" s="878"/>
      <c r="AJ5" s="878"/>
      <c r="AK5" s="879"/>
      <c r="AL5" s="500">
        <v>14</v>
      </c>
      <c r="AM5" s="499"/>
      <c r="AN5" s="499"/>
      <c r="AO5" s="498"/>
      <c r="AP5" s="498"/>
      <c r="AQ5" s="498"/>
      <c r="AR5" s="498"/>
      <c r="AS5" s="498"/>
      <c r="AT5" s="498"/>
      <c r="AU5" s="498"/>
      <c r="AV5" s="498"/>
    </row>
    <row r="6" spans="1:48" ht="12.75" customHeight="1">
      <c r="A6" s="171"/>
      <c r="B6" s="176" t="str">
        <f>INDEX(AH4:AH6,AM4,1)</f>
        <v>1.Здания жилые,болниц,диспанс. учебных зданий</v>
      </c>
      <c r="C6" s="176"/>
      <c r="D6" s="431"/>
      <c r="E6" s="431"/>
      <c r="F6" s="431"/>
      <c r="G6" s="431"/>
      <c r="H6" s="431"/>
      <c r="I6" s="497"/>
      <c r="J6" s="511"/>
      <c r="K6" s="503"/>
      <c r="L6" s="504"/>
      <c r="M6" s="510"/>
      <c r="N6" s="176"/>
      <c r="O6" s="176"/>
      <c r="P6" s="44"/>
      <c r="Q6" s="44"/>
      <c r="R6" s="44"/>
      <c r="S6" s="8"/>
      <c r="T6" s="8"/>
      <c r="U6" s="6"/>
      <c r="V6" s="6"/>
      <c r="W6" s="34"/>
      <c r="X6" s="513"/>
      <c r="Y6" s="514"/>
      <c r="Z6" s="515"/>
      <c r="AA6" s="189"/>
      <c r="AB6" s="197"/>
      <c r="AC6" s="60"/>
      <c r="AD6" s="60"/>
      <c r="AE6" s="44"/>
      <c r="AF6" s="631"/>
      <c r="AG6" s="499"/>
      <c r="AH6" s="877" t="s">
        <v>354</v>
      </c>
      <c r="AI6" s="878"/>
      <c r="AJ6" s="878"/>
      <c r="AK6" s="879"/>
      <c r="AL6" s="500">
        <v>17</v>
      </c>
      <c r="AM6" s="499"/>
      <c r="AN6" s="499"/>
      <c r="AO6" s="881"/>
      <c r="AP6" s="498"/>
      <c r="AQ6" s="498"/>
      <c r="AR6" s="498"/>
      <c r="AS6" s="498"/>
      <c r="AT6" s="498"/>
      <c r="AU6" s="498"/>
      <c r="AV6" s="498"/>
    </row>
    <row r="7" spans="1:48" ht="12.75" customHeight="1" thickBot="1">
      <c r="A7" s="171"/>
      <c r="B7" s="203"/>
      <c r="C7" s="203"/>
      <c r="D7" s="423"/>
      <c r="E7" s="423"/>
      <c r="F7" s="423"/>
      <c r="G7" s="423"/>
      <c r="H7" s="423"/>
      <c r="I7" s="423"/>
      <c r="J7" s="423"/>
      <c r="K7" s="540"/>
      <c r="L7" s="504"/>
      <c r="M7" s="505"/>
      <c r="N7" s="176"/>
      <c r="O7" s="171"/>
      <c r="P7" s="44"/>
      <c r="Q7" s="44"/>
      <c r="R7" s="44"/>
      <c r="S7" s="8"/>
      <c r="T7" s="8"/>
      <c r="U7" s="6"/>
      <c r="V7" s="6"/>
      <c r="W7" s="34"/>
      <c r="X7" s="516"/>
      <c r="Y7" s="77"/>
      <c r="Z7" s="517"/>
      <c r="AA7" s="213"/>
      <c r="AB7" s="197"/>
      <c r="AC7" s="60"/>
      <c r="AD7" s="60"/>
      <c r="AE7" s="44"/>
      <c r="AF7" s="631"/>
      <c r="AG7" s="499"/>
      <c r="AN7" s="499"/>
      <c r="AO7" s="498"/>
      <c r="AP7" s="498"/>
      <c r="AQ7" s="498"/>
      <c r="AR7" s="498"/>
      <c r="AS7" s="498"/>
      <c r="AT7" s="498"/>
      <c r="AU7" s="498"/>
      <c r="AV7" s="498"/>
    </row>
    <row r="8" spans="1:48" ht="12.75" customHeight="1" thickBot="1">
      <c r="A8" s="59"/>
      <c r="B8" s="627" t="s">
        <v>355</v>
      </c>
      <c r="C8" s="689">
        <f>INDEX(AL4:AM6,AM4,1)</f>
        <v>12</v>
      </c>
      <c r="D8" s="538" t="s">
        <v>356</v>
      </c>
      <c r="E8" s="541"/>
      <c r="F8" s="530"/>
      <c r="G8" s="423"/>
      <c r="H8" s="495"/>
      <c r="I8" s="423"/>
      <c r="J8" s="423"/>
      <c r="K8" s="390"/>
      <c r="L8" s="512"/>
      <c r="M8" s="506"/>
      <c r="N8" s="199"/>
      <c r="P8" s="59"/>
      <c r="Q8" s="59"/>
      <c r="R8" s="59"/>
      <c r="S8" s="59"/>
      <c r="T8" s="59"/>
      <c r="U8" s="59"/>
      <c r="V8" s="59"/>
      <c r="W8" s="34"/>
      <c r="X8" s="518"/>
      <c r="Y8" s="519"/>
      <c r="Z8" s="517"/>
      <c r="AA8" s="213"/>
      <c r="AB8" s="520"/>
      <c r="AC8" s="521"/>
      <c r="AD8" s="60"/>
      <c r="AE8" s="631"/>
      <c r="AF8" s="631"/>
      <c r="AG8" s="499"/>
      <c r="AH8" s="946" t="s">
        <v>63</v>
      </c>
      <c r="AI8" s="946" t="s">
        <v>357</v>
      </c>
      <c r="AJ8" s="946" t="s">
        <v>358</v>
      </c>
      <c r="AK8" s="946" t="s">
        <v>359</v>
      </c>
      <c r="AL8" s="947" t="s">
        <v>360</v>
      </c>
      <c r="AM8" s="946" t="s">
        <v>361</v>
      </c>
      <c r="AN8" s="499"/>
      <c r="AO8" s="498"/>
      <c r="AP8" s="498"/>
      <c r="AQ8" s="498"/>
      <c r="AR8" s="498"/>
      <c r="AS8" s="498"/>
      <c r="AT8" s="498"/>
      <c r="AU8" s="498"/>
      <c r="AV8" s="498"/>
    </row>
    <row r="9" spans="1:48" ht="12.75" customHeight="1">
      <c r="A9" s="59"/>
      <c r="B9" s="540"/>
      <c r="C9" s="422"/>
      <c r="D9" s="532"/>
      <c r="E9" s="423"/>
      <c r="F9" s="530"/>
      <c r="G9" s="423"/>
      <c r="H9" s="495"/>
      <c r="I9" s="423"/>
      <c r="J9" s="203"/>
      <c r="K9" s="206"/>
      <c r="L9" s="207"/>
      <c r="M9" s="460"/>
      <c r="N9" s="199"/>
      <c r="P9" s="59"/>
      <c r="Q9" s="59"/>
      <c r="R9" s="59"/>
      <c r="S9" s="59"/>
      <c r="T9" s="59"/>
      <c r="U9" s="59"/>
      <c r="V9" s="59"/>
      <c r="W9" s="34"/>
      <c r="X9" s="516"/>
      <c r="Y9" s="77"/>
      <c r="Z9" s="64"/>
      <c r="AA9" s="60"/>
      <c r="AB9" s="93"/>
      <c r="AC9" s="60"/>
      <c r="AD9" s="60"/>
      <c r="AE9" s="631"/>
      <c r="AF9" s="631"/>
      <c r="AG9" s="498"/>
      <c r="AH9" s="948">
        <f>E14</f>
        <v>10.845555555555556</v>
      </c>
      <c r="AI9" s="948">
        <f>E14+E15</f>
        <v>10.845555555555556</v>
      </c>
      <c r="AJ9" s="948">
        <f>E14+E15+E16</f>
        <v>10.845555555555556</v>
      </c>
      <c r="AK9" s="948">
        <f>E14+E15+E16+E17</f>
        <v>10.845555555555556</v>
      </c>
      <c r="AL9" s="949">
        <f>E14+E15+E16+E17+E18</f>
        <v>10.845555555555556</v>
      </c>
      <c r="AM9" s="948">
        <f>E14+E15+E16+E17+E18+E19</f>
        <v>10.845555555555556</v>
      </c>
      <c r="AN9" s="498"/>
      <c r="AO9" s="498"/>
      <c r="AP9" s="498"/>
      <c r="AQ9" s="498"/>
      <c r="AR9" s="498"/>
      <c r="AS9" s="498"/>
      <c r="AT9" s="498"/>
      <c r="AU9" s="498"/>
      <c r="AV9" s="498"/>
    </row>
    <row r="10" spans="1:49" s="109" customFormat="1" ht="12.75" customHeight="1">
      <c r="A10" s="171"/>
      <c r="B10" s="630" t="s">
        <v>362</v>
      </c>
      <c r="C10" s="422"/>
      <c r="D10" s="512"/>
      <c r="E10" s="512"/>
      <c r="F10" s="512"/>
      <c r="G10" s="423"/>
      <c r="H10" s="495"/>
      <c r="I10" s="423"/>
      <c r="J10" s="205"/>
      <c r="K10" s="208"/>
      <c r="L10" s="207"/>
      <c r="M10" s="383"/>
      <c r="N10" s="515"/>
      <c r="P10" s="171"/>
      <c r="Q10" s="171"/>
      <c r="R10" s="171"/>
      <c r="S10" s="171"/>
      <c r="T10" s="171"/>
      <c r="U10" s="171"/>
      <c r="V10" s="171"/>
      <c r="W10" s="496"/>
      <c r="X10" s="431"/>
      <c r="Y10" s="431"/>
      <c r="Z10" s="515"/>
      <c r="AA10" s="176"/>
      <c r="AB10" s="520"/>
      <c r="AC10" s="176"/>
      <c r="AD10" s="176"/>
      <c r="AE10" s="631"/>
      <c r="AF10" s="632"/>
      <c r="AG10" s="499"/>
      <c r="AH10"/>
      <c r="AI10"/>
      <c r="AJ10"/>
      <c r="AK10"/>
      <c r="AL10"/>
      <c r="AM10"/>
      <c r="AN10" s="498"/>
      <c r="AO10" s="499"/>
      <c r="AP10" s="498"/>
      <c r="AQ10" s="498"/>
      <c r="AR10" s="498"/>
      <c r="AS10" s="498"/>
      <c r="AT10" s="498"/>
      <c r="AU10" s="498"/>
      <c r="AV10" s="498"/>
      <c r="AW10" s="498"/>
    </row>
    <row r="11" spans="1:49" ht="12.75" customHeight="1" thickBot="1">
      <c r="A11" s="59"/>
      <c r="B11" s="625"/>
      <c r="C11" s="626"/>
      <c r="D11" s="534"/>
      <c r="E11" s="423"/>
      <c r="F11" s="530"/>
      <c r="G11" s="423"/>
      <c r="H11" s="423"/>
      <c r="I11" s="423"/>
      <c r="J11" s="205"/>
      <c r="K11" s="209"/>
      <c r="L11" s="207"/>
      <c r="M11" s="460"/>
      <c r="N11" s="201"/>
      <c r="P11" s="59"/>
      <c r="Q11" s="59"/>
      <c r="R11" s="59"/>
      <c r="S11" s="59"/>
      <c r="T11" s="59"/>
      <c r="U11" s="59"/>
      <c r="V11" s="59"/>
      <c r="W11" s="6"/>
      <c r="X11" s="6"/>
      <c r="Y11" s="6"/>
      <c r="Z11" s="14"/>
      <c r="AA11" s="6"/>
      <c r="AB11" s="15"/>
      <c r="AC11" s="6"/>
      <c r="AD11" s="6"/>
      <c r="AE11" s="631"/>
      <c r="AF11" s="632"/>
      <c r="AG11" s="499"/>
      <c r="AH11" s="498"/>
      <c r="AI11" s="498"/>
      <c r="AJ11" s="498"/>
      <c r="AK11" s="498"/>
      <c r="AL11" s="498"/>
      <c r="AM11" s="498" t="s">
        <v>363</v>
      </c>
      <c r="AO11" s="499"/>
      <c r="AP11" s="499"/>
      <c r="AQ11" s="499"/>
      <c r="AR11" s="499"/>
      <c r="AS11" s="499"/>
      <c r="AT11" s="499"/>
      <c r="AU11" s="499"/>
      <c r="AV11" s="499"/>
      <c r="AW11" s="498"/>
    </row>
    <row r="12" spans="1:49" ht="12.75" customHeight="1" thickBot="1">
      <c r="A12" s="59"/>
      <c r="B12" s="546" t="s">
        <v>314</v>
      </c>
      <c r="C12" s="940" t="s">
        <v>29</v>
      </c>
      <c r="D12" s="942" t="s">
        <v>316</v>
      </c>
      <c r="E12" s="944" t="s">
        <v>317</v>
      </c>
      <c r="F12" s="944" t="s">
        <v>364</v>
      </c>
      <c r="G12" s="945" t="s">
        <v>365</v>
      </c>
      <c r="H12" s="70"/>
      <c r="I12" s="75"/>
      <c r="J12" s="75"/>
      <c r="K12" s="542"/>
      <c r="L12" s="59"/>
      <c r="M12" s="59"/>
      <c r="N12" s="60"/>
      <c r="O12" s="59"/>
      <c r="P12" s="59"/>
      <c r="Q12" s="59"/>
      <c r="R12" s="59"/>
      <c r="S12" s="59"/>
      <c r="T12" s="59"/>
      <c r="U12" s="59"/>
      <c r="V12" s="59"/>
      <c r="W12" s="6"/>
      <c r="X12" s="6"/>
      <c r="Y12" s="6"/>
      <c r="Z12" s="14"/>
      <c r="AA12" s="6"/>
      <c r="AB12" s="15"/>
      <c r="AC12" s="6"/>
      <c r="AD12" s="6"/>
      <c r="AE12" s="631"/>
      <c r="AF12" s="632"/>
      <c r="AG12" s="634"/>
      <c r="AH12" s="630" t="s">
        <v>366</v>
      </c>
      <c r="AI12" s="498"/>
      <c r="AJ12" s="499"/>
      <c r="AK12" s="499"/>
      <c r="AL12" s="499"/>
      <c r="AM12" s="882">
        <f>IF(E14&gt;=0.5,1)+IF(AND(E14&lt;0.5,E14+E15&gt;=0.5),2)+IF(AND(E14+E15&lt;0.5,E14+E15+E16&gt;=0.5),3)+IF(AND(E14+E15+E16&lt;0.5,E14+E15+E16+E17&gt;=0.5),4)+IF(AND(E14+E15+E16+E17&lt;0.5,E14+E15+E16+E17+E18&gt;=0.5),5)+IF(AND(E14+E15+E16+E17+E18&lt;0.5,E14+E15+E16+E17+E18+E19&gt;=0.5),6)</f>
        <v>1</v>
      </c>
      <c r="AO12" s="885" t="s">
        <v>367</v>
      </c>
      <c r="AP12" s="885" t="s">
        <v>368</v>
      </c>
      <c r="AQ12" s="885" t="s">
        <v>369</v>
      </c>
      <c r="AR12" s="885" t="s">
        <v>370</v>
      </c>
      <c r="AS12" s="885" t="s">
        <v>371</v>
      </c>
      <c r="AW12" s="498"/>
    </row>
    <row r="13" spans="1:45" ht="12.75" customHeight="1">
      <c r="A13" s="602" t="s">
        <v>212</v>
      </c>
      <c r="C13" s="941" t="s">
        <v>28</v>
      </c>
      <c r="D13" s="943" t="s">
        <v>322</v>
      </c>
      <c r="E13" s="943"/>
      <c r="F13" s="943"/>
      <c r="G13" s="941" t="s">
        <v>321</v>
      </c>
      <c r="H13" s="75"/>
      <c r="I13" s="75"/>
      <c r="J13" s="75"/>
      <c r="K13" s="542"/>
      <c r="L13" s="64"/>
      <c r="M13" s="61"/>
      <c r="N13" s="60"/>
      <c r="O13" s="59"/>
      <c r="P13" s="59"/>
      <c r="Q13" s="59"/>
      <c r="R13" s="59"/>
      <c r="S13" s="59"/>
      <c r="T13" s="59"/>
      <c r="U13" s="59"/>
      <c r="V13" s="59"/>
      <c r="W13" s="6"/>
      <c r="X13" s="6"/>
      <c r="Y13" s="6"/>
      <c r="Z13" s="14"/>
      <c r="AA13" s="6"/>
      <c r="AB13" s="15"/>
      <c r="AC13" s="6"/>
      <c r="AD13" s="6"/>
      <c r="AE13" s="631"/>
      <c r="AF13" s="632"/>
      <c r="AG13" s="499"/>
      <c r="AH13" s="699"/>
      <c r="AI13" s="700"/>
      <c r="AJ13" s="700"/>
      <c r="AK13" s="884" t="s">
        <v>372</v>
      </c>
      <c r="AL13" s="700"/>
      <c r="AM13" s="928"/>
      <c r="AN13" s="3"/>
      <c r="AO13" s="886">
        <f>AM28</f>
        <v>9.08</v>
      </c>
      <c r="AP13" s="886">
        <f>AM26</f>
        <v>196.95528888888887</v>
      </c>
      <c r="AQ13" s="886">
        <f>AM24</f>
        <v>196.95528888888887</v>
      </c>
      <c r="AR13" s="886">
        <f>AM21</f>
        <v>196.95528888888887</v>
      </c>
      <c r="AS13" s="886">
        <f>AM17</f>
        <v>196.95528888888887</v>
      </c>
    </row>
    <row r="14" spans="1:45" ht="12.75" customHeight="1">
      <c r="A14" s="70">
        <v>1</v>
      </c>
      <c r="B14" s="586" t="str">
        <f>1Tепло!B16</f>
        <v>Сосна и ель(поперек волок.)</v>
      </c>
      <c r="C14" s="934">
        <f>1Tепло!F16</f>
        <v>4.54</v>
      </c>
      <c r="D14" s="464">
        <f>1Tепло!E27</f>
        <v>2.388888888888889</v>
      </c>
      <c r="E14" s="935">
        <f aca="true" t="shared" si="0" ref="E14:E19">C14*D14</f>
        <v>10.845555555555556</v>
      </c>
      <c r="F14" s="464">
        <f>E14</f>
        <v>10.845555555555556</v>
      </c>
      <c r="G14" s="936">
        <f>INDEX(AO13:AS16,1,AM12)</f>
        <v>9.08</v>
      </c>
      <c r="H14" s="75"/>
      <c r="I14" s="75"/>
      <c r="J14" s="75"/>
      <c r="K14" s="544"/>
      <c r="L14" s="60"/>
      <c r="M14" s="66"/>
      <c r="N14" s="59"/>
      <c r="O14" s="59"/>
      <c r="P14" s="59"/>
      <c r="Q14" s="59"/>
      <c r="R14" s="59"/>
      <c r="S14" s="59"/>
      <c r="T14" s="59"/>
      <c r="U14" s="59"/>
      <c r="V14" s="59"/>
      <c r="W14" s="6"/>
      <c r="X14" s="522"/>
      <c r="Y14" s="522"/>
      <c r="Z14" s="522"/>
      <c r="AA14" s="522"/>
      <c r="AB14" s="522"/>
      <c r="AC14" s="522"/>
      <c r="AD14" s="6"/>
      <c r="AE14" s="631"/>
      <c r="AF14" s="632"/>
      <c r="AG14" s="498"/>
      <c r="AH14" s="637" t="s">
        <v>373</v>
      </c>
      <c r="AI14" s="499"/>
      <c r="AJ14" s="499"/>
      <c r="AK14" s="499"/>
      <c r="AL14" s="633"/>
      <c r="AM14" s="931">
        <f>(2*D17*(C17^2)+C18)/(0.5+D17*C18)</f>
        <v>0</v>
      </c>
      <c r="AN14" s="3"/>
      <c r="AO14" s="500"/>
      <c r="AP14" s="500"/>
      <c r="AQ14" s="886">
        <f>AM23</f>
        <v>0</v>
      </c>
      <c r="AR14" s="886">
        <f>AM20</f>
        <v>0</v>
      </c>
      <c r="AS14" s="886">
        <f>AM16</f>
        <v>0</v>
      </c>
    </row>
    <row r="15" spans="1:51" s="109" customFormat="1" ht="12" customHeight="1">
      <c r="A15" s="70">
        <v>2</v>
      </c>
      <c r="B15" s="586" t="str">
        <f>1Tепло!B17</f>
        <v>  -- ПУСТО --</v>
      </c>
      <c r="C15" s="934">
        <f>1Tепло!F17</f>
        <v>0</v>
      </c>
      <c r="D15" s="464">
        <f>1Tепло!G27</f>
        <v>0</v>
      </c>
      <c r="E15" s="935">
        <f t="shared" si="0"/>
        <v>0</v>
      </c>
      <c r="F15" s="464">
        <f>E14+E15</f>
        <v>10.845555555555556</v>
      </c>
      <c r="G15" s="936">
        <f>INDEX(AO13:AS16,2,AM12)</f>
        <v>0</v>
      </c>
      <c r="H15" s="205"/>
      <c r="I15" s="205"/>
      <c r="J15" s="205"/>
      <c r="K15" s="208"/>
      <c r="L15" s="176"/>
      <c r="M15" s="536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6"/>
      <c r="Y15" s="176"/>
      <c r="Z15" s="176"/>
      <c r="AA15" s="176"/>
      <c r="AB15" s="176"/>
      <c r="AC15" s="176"/>
      <c r="AD15" s="171"/>
      <c r="AE15" s="631"/>
      <c r="AF15" s="632"/>
      <c r="AG15" s="499"/>
      <c r="AH15" s="637" t="s">
        <v>374</v>
      </c>
      <c r="AI15" s="499"/>
      <c r="AJ15" s="499"/>
      <c r="AK15" s="499"/>
      <c r="AL15" s="499"/>
      <c r="AM15" s="932">
        <f>(4*D16*(C16^2)+AM14)/(1+D16*AM14)</f>
        <v>0</v>
      </c>
      <c r="AN15" s="3"/>
      <c r="AO15" s="500"/>
      <c r="AP15" s="500"/>
      <c r="AQ15" s="500"/>
      <c r="AR15" s="886">
        <f>AM19</f>
        <v>0</v>
      </c>
      <c r="AS15" s="886">
        <f>AM15</f>
        <v>0</v>
      </c>
      <c r="AT15"/>
      <c r="AU15"/>
      <c r="AV15"/>
      <c r="AW15"/>
      <c r="AX15"/>
      <c r="AY15"/>
    </row>
    <row r="16" spans="1:51" s="109" customFormat="1" ht="12.75" customHeight="1">
      <c r="A16" s="75">
        <v>3</v>
      </c>
      <c r="B16" s="586" t="str">
        <f>1Tепло!B18</f>
        <v>  -- ПУСТО --</v>
      </c>
      <c r="C16" s="934">
        <f>1Tепло!F18</f>
        <v>0</v>
      </c>
      <c r="D16" s="464">
        <f>1Tепло!I27</f>
        <v>0</v>
      </c>
      <c r="E16" s="935">
        <f t="shared" si="0"/>
        <v>0</v>
      </c>
      <c r="F16" s="464">
        <f>E14+E15+E16</f>
        <v>10.845555555555556</v>
      </c>
      <c r="G16" s="592">
        <f>INDEX(AO13:AS16,3,AM12)</f>
        <v>0</v>
      </c>
      <c r="H16" s="205"/>
      <c r="I16" s="205"/>
      <c r="J16" s="205"/>
      <c r="K16" s="208"/>
      <c r="L16" s="205"/>
      <c r="M16" s="545"/>
      <c r="N16" s="203"/>
      <c r="O16" s="203"/>
      <c r="P16" s="203"/>
      <c r="Q16" s="203"/>
      <c r="R16" s="203"/>
      <c r="S16" s="203"/>
      <c r="T16" s="171"/>
      <c r="U16" s="171"/>
      <c r="V16" s="171"/>
      <c r="W16" s="171"/>
      <c r="X16" s="176"/>
      <c r="Y16" s="176"/>
      <c r="Z16" s="176"/>
      <c r="AA16" s="176"/>
      <c r="AB16" s="176"/>
      <c r="AC16" s="176"/>
      <c r="AD16" s="171"/>
      <c r="AE16" s="631"/>
      <c r="AF16" s="631"/>
      <c r="AG16" s="499"/>
      <c r="AH16" s="637" t="s">
        <v>375</v>
      </c>
      <c r="AI16" s="499"/>
      <c r="AJ16" s="499"/>
      <c r="AK16" s="499"/>
      <c r="AL16" s="499"/>
      <c r="AM16" s="846">
        <f>(4*D15*(C15^2)+AM15)/(1+D15*AM15)</f>
        <v>0</v>
      </c>
      <c r="AN16" s="3"/>
      <c r="AO16" s="500"/>
      <c r="AP16" s="500"/>
      <c r="AQ16" s="500"/>
      <c r="AR16" s="876"/>
      <c r="AS16" s="886">
        <f>AM14</f>
        <v>0</v>
      </c>
      <c r="AT16"/>
      <c r="AU16"/>
      <c r="AV16"/>
      <c r="AW16"/>
      <c r="AX16"/>
      <c r="AY16"/>
    </row>
    <row r="17" spans="1:51" s="109" customFormat="1" ht="12.75" customHeight="1" thickBot="1">
      <c r="A17" s="75">
        <v>4</v>
      </c>
      <c r="B17" s="866" t="str">
        <f>1Tепло!B19</f>
        <v>  -- ПУСТО --</v>
      </c>
      <c r="C17" s="934">
        <f>1Tепло!F19</f>
        <v>0</v>
      </c>
      <c r="D17" s="464">
        <f>1Tепло!K27</f>
        <v>0</v>
      </c>
      <c r="E17" s="935">
        <f t="shared" si="0"/>
        <v>0</v>
      </c>
      <c r="F17" s="464">
        <f>IF(E17=0,0)+IF(E17&gt;0,E14+E15+E16+E17)</f>
        <v>0</v>
      </c>
      <c r="G17" s="936">
        <f>INDEX(AO13:AS16,4,AM12)</f>
        <v>0</v>
      </c>
      <c r="H17" s="205"/>
      <c r="I17" s="205"/>
      <c r="J17" s="205"/>
      <c r="K17" s="208"/>
      <c r="L17" s="205"/>
      <c r="M17" s="545"/>
      <c r="N17" s="203"/>
      <c r="O17" s="203"/>
      <c r="P17" s="203"/>
      <c r="Q17" s="203"/>
      <c r="R17" s="203"/>
      <c r="S17" s="203"/>
      <c r="T17" s="171"/>
      <c r="U17" s="171"/>
      <c r="V17" s="171"/>
      <c r="W17" s="171"/>
      <c r="X17" s="176"/>
      <c r="Y17" s="176"/>
      <c r="Z17" s="176"/>
      <c r="AA17" s="176"/>
      <c r="AB17" s="176"/>
      <c r="AC17" s="176"/>
      <c r="AD17" s="171"/>
      <c r="AE17" s="631"/>
      <c r="AF17" s="631"/>
      <c r="AG17" s="499"/>
      <c r="AH17" s="638" t="s">
        <v>376</v>
      </c>
      <c r="AI17" s="639"/>
      <c r="AJ17" s="639"/>
      <c r="AK17" s="639"/>
      <c r="AL17" s="640"/>
      <c r="AM17" s="933">
        <f>(4*D14*(C14^2)+AM16)/(1+D14*AM16)</f>
        <v>196.95528888888887</v>
      </c>
      <c r="AN17" s="3"/>
      <c r="AO17" s="777"/>
      <c r="AP17" s="498"/>
      <c r="AQ17" s="498"/>
      <c r="AR17" s="498"/>
      <c r="AS17" s="498"/>
      <c r="AT17"/>
      <c r="AU17"/>
      <c r="AV17"/>
      <c r="AW17"/>
      <c r="AX17"/>
      <c r="AY17"/>
    </row>
    <row r="18" spans="1:48" s="109" customFormat="1" ht="12.75" customHeight="1">
      <c r="A18" s="75">
        <v>5</v>
      </c>
      <c r="B18" s="628" t="str">
        <f>1Tепло!B20</f>
        <v>  -- ПУСТО --</v>
      </c>
      <c r="C18" s="934">
        <f>1Tепло!F20</f>
        <v>0</v>
      </c>
      <c r="D18" s="464">
        <f>1Tепло!M27</f>
        <v>0</v>
      </c>
      <c r="E18" s="935">
        <f t="shared" si="0"/>
        <v>0</v>
      </c>
      <c r="F18" s="937">
        <f>IF(E18=0,0)+IF(E18&gt;0,E14+E15+E16+E17+E18)</f>
        <v>0</v>
      </c>
      <c r="G18" s="938">
        <v>0</v>
      </c>
      <c r="H18" s="203"/>
      <c r="I18" s="415"/>
      <c r="J18" s="203"/>
      <c r="K18" s="206"/>
      <c r="L18" s="203"/>
      <c r="M18" s="203"/>
      <c r="N18" s="203"/>
      <c r="O18" s="203"/>
      <c r="P18" s="203"/>
      <c r="Q18" s="203"/>
      <c r="R18" s="203"/>
      <c r="S18" s="203"/>
      <c r="T18" s="171"/>
      <c r="U18" s="171"/>
      <c r="V18" s="171"/>
      <c r="W18" s="171"/>
      <c r="X18" s="176"/>
      <c r="Y18" s="176"/>
      <c r="Z18" s="176"/>
      <c r="AA18" s="176"/>
      <c r="AB18" s="176"/>
      <c r="AC18" s="176"/>
      <c r="AD18" s="171"/>
      <c r="AE18" s="631"/>
      <c r="AF18" s="631"/>
      <c r="AG18" s="499"/>
      <c r="AH18" s="699"/>
      <c r="AI18" s="700"/>
      <c r="AJ18" s="700"/>
      <c r="AK18" s="884" t="s">
        <v>377</v>
      </c>
      <c r="AL18" s="700"/>
      <c r="AM18" s="926"/>
      <c r="AN18" s="3"/>
      <c r="AO18" s="3"/>
      <c r="AP18" s="498"/>
      <c r="AQ18"/>
      <c r="AR18"/>
      <c r="AS18"/>
      <c r="AT18"/>
      <c r="AU18"/>
      <c r="AV18" s="498"/>
    </row>
    <row r="19" spans="1:48" ht="12.75" customHeight="1">
      <c r="A19" s="75">
        <v>6</v>
      </c>
      <c r="B19" s="587" t="str">
        <f>1Tепло!B22</f>
        <v>  -- ПУСТО --</v>
      </c>
      <c r="C19" s="934">
        <f>1Tепло!F22</f>
        <v>0</v>
      </c>
      <c r="D19" s="464">
        <f>1Tепло!Q27</f>
        <v>0</v>
      </c>
      <c r="E19" s="935">
        <f t="shared" si="0"/>
        <v>0</v>
      </c>
      <c r="F19" s="937">
        <f>IF(E19=0,0)+IF(E19&gt;0,E14+E15+E16+E17+E18+E19)</f>
        <v>0</v>
      </c>
      <c r="G19" s="939">
        <v>0</v>
      </c>
      <c r="H19" s="550"/>
      <c r="I19" s="70"/>
      <c r="J19" s="551"/>
      <c r="K19" s="552"/>
      <c r="L19" s="70"/>
      <c r="M19" s="70"/>
      <c r="N19" s="70"/>
      <c r="O19" s="70"/>
      <c r="P19" s="70"/>
      <c r="Q19" s="70"/>
      <c r="R19" s="70"/>
      <c r="S19" s="70"/>
      <c r="T19" s="59"/>
      <c r="U19" s="59"/>
      <c r="V19" s="59"/>
      <c r="W19" s="6"/>
      <c r="X19" s="522"/>
      <c r="Y19" s="205"/>
      <c r="Z19" s="3"/>
      <c r="AA19" s="524"/>
      <c r="AB19" s="525"/>
      <c r="AC19" s="526"/>
      <c r="AE19" s="635" t="s">
        <v>323</v>
      </c>
      <c r="AF19" s="498"/>
      <c r="AG19" s="499"/>
      <c r="AH19" s="637" t="s">
        <v>374</v>
      </c>
      <c r="AI19" s="499"/>
      <c r="AJ19" s="499"/>
      <c r="AK19" s="499"/>
      <c r="AL19" s="633"/>
      <c r="AM19" s="846">
        <f>(2*D16*(C16^2)+C17)/(0.5+D16*C17)</f>
        <v>0</v>
      </c>
      <c r="AN19" s="3"/>
      <c r="AO19" s="3"/>
      <c r="AP19" s="498"/>
      <c r="AQ19" s="498"/>
      <c r="AR19" s="498"/>
      <c r="AS19" s="498"/>
      <c r="AT19" s="498"/>
      <c r="AU19" s="498"/>
      <c r="AV19" s="498"/>
    </row>
    <row r="20" spans="1:48" s="9" customFormat="1" ht="12.75" customHeight="1">
      <c r="A20"/>
      <c r="B20"/>
      <c r="C20" s="554"/>
      <c r="D20" s="580"/>
      <c r="E20" s="553"/>
      <c r="F20" s="554"/>
      <c r="G20" s="555"/>
      <c r="H20" s="203"/>
      <c r="I20" s="203"/>
      <c r="J20" s="552"/>
      <c r="K20" s="261"/>
      <c r="L20" s="70"/>
      <c r="M20" s="556"/>
      <c r="N20" s="70"/>
      <c r="O20" s="70"/>
      <c r="P20" s="70"/>
      <c r="Q20" s="70"/>
      <c r="R20" s="70"/>
      <c r="S20" s="70"/>
      <c r="T20" s="70"/>
      <c r="U20" s="70"/>
      <c r="V20" s="70"/>
      <c r="W20" s="23"/>
      <c r="X20" s="50"/>
      <c r="Y20" s="50"/>
      <c r="Z20" s="216"/>
      <c r="AA20" s="208"/>
      <c r="AB20" s="205"/>
      <c r="AC20" s="50"/>
      <c r="AD20"/>
      <c r="AE20"/>
      <c r="AF20" s="602"/>
      <c r="AG20" s="698"/>
      <c r="AH20" s="637" t="s">
        <v>375</v>
      </c>
      <c r="AI20" s="499"/>
      <c r="AJ20" s="499"/>
      <c r="AK20" s="499"/>
      <c r="AL20" s="499"/>
      <c r="AM20" s="925">
        <f>(4*D15*(C15^2)+AM19)/(1+D15*AM19)</f>
        <v>0</v>
      </c>
      <c r="AN20" s="3"/>
      <c r="AO20" s="3"/>
      <c r="AP20" s="501"/>
      <c r="AQ20" s="501"/>
      <c r="AR20" s="501"/>
      <c r="AS20" s="501"/>
      <c r="AT20" s="501"/>
      <c r="AU20" s="501"/>
      <c r="AV20" s="501"/>
    </row>
    <row r="21" spans="1:48" s="9" customFormat="1" ht="12.75" customHeight="1" thickBot="1">
      <c r="A21"/>
      <c r="B21" s="691" t="s">
        <v>378</v>
      </c>
      <c r="C21" s="554"/>
      <c r="D21" s="580"/>
      <c r="E21" s="557"/>
      <c r="F21" s="554"/>
      <c r="G21" s="555"/>
      <c r="H21" s="203"/>
      <c r="I21" s="203"/>
      <c r="J21" s="552"/>
      <c r="K21" s="261"/>
      <c r="L21" s="70"/>
      <c r="M21" s="556"/>
      <c r="N21" s="70"/>
      <c r="O21" s="70"/>
      <c r="P21" s="70"/>
      <c r="Q21" s="70"/>
      <c r="R21" s="70"/>
      <c r="S21" s="70"/>
      <c r="T21" s="70"/>
      <c r="U21" s="70"/>
      <c r="V21" s="70"/>
      <c r="W21" s="23"/>
      <c r="X21" s="50"/>
      <c r="Y21" s="50"/>
      <c r="Z21" s="216"/>
      <c r="AA21" s="208"/>
      <c r="AB21" s="205"/>
      <c r="AC21" s="50"/>
      <c r="AD21"/>
      <c r="AE21"/>
      <c r="AF21" s="602"/>
      <c r="AG21" s="698"/>
      <c r="AH21" s="637" t="s">
        <v>376</v>
      </c>
      <c r="AI21" s="499"/>
      <c r="AJ21" s="499"/>
      <c r="AK21" s="499"/>
      <c r="AL21" s="499"/>
      <c r="AM21" s="927">
        <f>(4*D14*(C14^2)+AM20)/(1+D14*AM20)</f>
        <v>196.95528888888887</v>
      </c>
      <c r="AN21" s="3"/>
      <c r="AO21" s="698"/>
      <c r="AP21" s="501"/>
      <c r="AQ21" s="501"/>
      <c r="AR21" s="501"/>
      <c r="AS21" s="501"/>
      <c r="AT21" s="501"/>
      <c r="AU21" s="501"/>
      <c r="AV21" s="501"/>
    </row>
    <row r="22" spans="1:41" s="501" customFormat="1" ht="15.75" customHeight="1">
      <c r="A22" s="498"/>
      <c r="B22" s="692" t="s">
        <v>325</v>
      </c>
      <c r="C22" s="498" t="s">
        <v>379</v>
      </c>
      <c r="D22" s="498"/>
      <c r="E22" s="498"/>
      <c r="F22" s="498"/>
      <c r="G22" s="498"/>
      <c r="H22" s="498"/>
      <c r="I22" s="602"/>
      <c r="J22" s="693"/>
      <c r="K22" s="694"/>
      <c r="L22" s="602"/>
      <c r="M22" s="695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3"/>
      <c r="Y22" s="603"/>
      <c r="Z22" s="696"/>
      <c r="AA22" s="697"/>
      <c r="AB22" s="603"/>
      <c r="AC22" s="603"/>
      <c r="AD22" s="498"/>
      <c r="AE22" s="498"/>
      <c r="AF22" s="602"/>
      <c r="AG22" s="698"/>
      <c r="AH22" s="699"/>
      <c r="AI22" s="700"/>
      <c r="AJ22" s="700"/>
      <c r="AK22" s="884" t="s">
        <v>380</v>
      </c>
      <c r="AL22" s="700"/>
      <c r="AM22" s="928"/>
      <c r="AN22" s="698"/>
      <c r="AO22" s="698"/>
    </row>
    <row r="23" spans="1:41" s="501" customFormat="1" ht="15.75" customHeight="1">
      <c r="A23" s="498"/>
      <c r="B23" s="691" t="s">
        <v>381</v>
      </c>
      <c r="C23" s="554"/>
      <c r="D23" s="580"/>
      <c r="E23" s="557"/>
      <c r="F23" s="498"/>
      <c r="G23" s="498"/>
      <c r="H23" s="498"/>
      <c r="I23" s="602"/>
      <c r="J23" s="693"/>
      <c r="K23" s="701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3"/>
      <c r="Y23" s="603"/>
      <c r="Z23" s="696"/>
      <c r="AA23" s="697"/>
      <c r="AB23" s="603"/>
      <c r="AC23" s="603"/>
      <c r="AD23" s="498"/>
      <c r="AE23" s="498"/>
      <c r="AF23" s="602"/>
      <c r="AH23" s="637" t="s">
        <v>375</v>
      </c>
      <c r="AI23" s="499"/>
      <c r="AJ23" s="499"/>
      <c r="AK23" s="499"/>
      <c r="AL23" s="633"/>
      <c r="AM23" s="925">
        <f>(2*D15*(C15^2)+C16)/(0.5+D15*C16)</f>
        <v>0</v>
      </c>
      <c r="AN23" s="3"/>
      <c r="AO23" s="3"/>
    </row>
    <row r="24" spans="1:40" s="698" customFormat="1" ht="15.75" customHeight="1" thickBot="1">
      <c r="A24"/>
      <c r="B24" s="692" t="s">
        <v>365</v>
      </c>
      <c r="C24" s="498" t="s">
        <v>382</v>
      </c>
      <c r="D24" s="498"/>
      <c r="E24" s="498"/>
      <c r="F24"/>
      <c r="G24"/>
      <c r="H24"/>
      <c r="I24"/>
      <c r="J24"/>
      <c r="K24" s="708"/>
      <c r="L24" s="602"/>
      <c r="M24" s="695"/>
      <c r="N24" s="602"/>
      <c r="O24" s="602"/>
      <c r="P24" s="602"/>
      <c r="Q24" s="603"/>
      <c r="R24" s="603"/>
      <c r="S24" s="603"/>
      <c r="T24" s="603"/>
      <c r="U24" s="603"/>
      <c r="V24" s="603"/>
      <c r="W24" s="603"/>
      <c r="X24" s="603"/>
      <c r="Y24" s="603"/>
      <c r="Z24" s="696"/>
      <c r="AA24" s="697"/>
      <c r="AB24" s="603"/>
      <c r="AC24" s="603"/>
      <c r="AD24" s="498" t="s">
        <v>0</v>
      </c>
      <c r="AE24" s="498"/>
      <c r="AF24" s="603"/>
      <c r="AH24" s="637" t="s">
        <v>376</v>
      </c>
      <c r="AI24" s="499"/>
      <c r="AJ24" s="499"/>
      <c r="AK24" s="499"/>
      <c r="AL24" s="499"/>
      <c r="AM24" s="929">
        <f>(4*D14*(C14^2)+AM23)/(1+D14*AM23)</f>
        <v>196.95528888888887</v>
      </c>
      <c r="AN24" s="3"/>
    </row>
    <row r="25" spans="1:39" s="698" customFormat="1" ht="15.75" customHeight="1" thickBot="1">
      <c r="A25"/>
      <c r="B25" s="691" t="s">
        <v>383</v>
      </c>
      <c r="C25"/>
      <c r="D25"/>
      <c r="E25"/>
      <c r="F25"/>
      <c r="G25"/>
      <c r="H25"/>
      <c r="I25"/>
      <c r="J25" s="707"/>
      <c r="K25" s="694"/>
      <c r="L25" s="709"/>
      <c r="M25" s="710"/>
      <c r="N25" s="709"/>
      <c r="O25" s="709"/>
      <c r="P25" s="709"/>
      <c r="Q25" s="709"/>
      <c r="R25" s="603"/>
      <c r="S25" s="603"/>
      <c r="T25" s="603"/>
      <c r="U25" s="603"/>
      <c r="V25" s="603"/>
      <c r="W25" s="603"/>
      <c r="X25" s="603"/>
      <c r="Y25" s="603"/>
      <c r="Z25" s="696"/>
      <c r="AA25" s="697"/>
      <c r="AB25" s="603"/>
      <c r="AC25" s="603"/>
      <c r="AD25" s="498"/>
      <c r="AE25" s="498"/>
      <c r="AF25" s="603"/>
      <c r="AH25" s="699"/>
      <c r="AI25" s="700"/>
      <c r="AJ25" s="700"/>
      <c r="AK25" s="884" t="s">
        <v>384</v>
      </c>
      <c r="AL25" s="700"/>
      <c r="AM25" s="928"/>
    </row>
    <row r="26" spans="1:48" s="12" customFormat="1" ht="15.75" customHeight="1" thickBot="1">
      <c r="A26" s="498"/>
      <c r="B26" s="692" t="s">
        <v>328</v>
      </c>
      <c r="C26" s="702">
        <f>IF(AM12=1,AM28)+IF(AM12=2,AM26)+IF(AM12=3,AM24)+IF(AM12=4,AM21)+IF(AM12=5,AM17)</f>
        <v>9.08</v>
      </c>
      <c r="D26" s="703" t="s">
        <v>385</v>
      </c>
      <c r="E26" s="704"/>
      <c r="F26" s="705"/>
      <c r="G26" s="706"/>
      <c r="H26" s="602"/>
      <c r="I26" s="707"/>
      <c r="J26" s="693"/>
      <c r="K26" s="564"/>
      <c r="L26" s="70"/>
      <c r="M26" s="70"/>
      <c r="N26" s="70"/>
      <c r="O26" s="70"/>
      <c r="P26" s="70"/>
      <c r="Q26" s="70"/>
      <c r="R26" s="75"/>
      <c r="S26" s="75"/>
      <c r="T26" s="75"/>
      <c r="U26" s="75"/>
      <c r="V26" s="75"/>
      <c r="W26" s="25"/>
      <c r="X26" s="50"/>
      <c r="Y26" s="50"/>
      <c r="Z26" s="44"/>
      <c r="AA26" s="44"/>
      <c r="AB26" s="44"/>
      <c r="AC26" s="44"/>
      <c r="AD26" s="44"/>
      <c r="AE26" s="50"/>
      <c r="AF26" s="603"/>
      <c r="AG26" s="698"/>
      <c r="AH26" s="638" t="s">
        <v>376</v>
      </c>
      <c r="AI26" s="639"/>
      <c r="AJ26" s="639"/>
      <c r="AK26" s="639"/>
      <c r="AL26" s="924"/>
      <c r="AM26" s="929">
        <f>(2*D14*(C14^2)+C15)/(0.5+D14*C15)</f>
        <v>196.95528888888887</v>
      </c>
      <c r="AN26" s="3"/>
      <c r="AO26" s="698"/>
      <c r="AP26" s="698"/>
      <c r="AQ26" s="698"/>
      <c r="AR26" s="698"/>
      <c r="AS26" s="698"/>
      <c r="AT26" s="698"/>
      <c r="AU26" s="698"/>
      <c r="AV26" s="698"/>
    </row>
    <row r="27" spans="1:48" s="579" customFormat="1" ht="15.75" customHeight="1">
      <c r="A27" s="498"/>
      <c r="B27" s="498"/>
      <c r="C27" s="705"/>
      <c r="D27" s="532"/>
      <c r="E27" s="704"/>
      <c r="F27" s="705"/>
      <c r="G27" s="706"/>
      <c r="H27" s="602"/>
      <c r="I27" s="602"/>
      <c r="J27" s="552"/>
      <c r="K27" s="646"/>
      <c r="L27" s="645"/>
      <c r="M27" s="647"/>
      <c r="N27" s="645"/>
      <c r="O27" s="645"/>
      <c r="P27" s="645"/>
      <c r="Q27" s="645"/>
      <c r="R27" s="644"/>
      <c r="S27" s="644"/>
      <c r="T27" s="644"/>
      <c r="U27" s="644"/>
      <c r="V27" s="644"/>
      <c r="W27" s="644"/>
      <c r="X27" s="644"/>
      <c r="Y27" s="644"/>
      <c r="Z27" s="648"/>
      <c r="AA27" s="578"/>
      <c r="AB27" s="578"/>
      <c r="AC27" s="578"/>
      <c r="AD27" s="578"/>
      <c r="AE27" s="574"/>
      <c r="AF27" s="603"/>
      <c r="AG27" s="698"/>
      <c r="AH27" s="699"/>
      <c r="AI27" s="700"/>
      <c r="AJ27" s="700"/>
      <c r="AK27" s="884" t="s">
        <v>386</v>
      </c>
      <c r="AL27" s="700"/>
      <c r="AM27" s="928"/>
      <c r="AN27" s="3"/>
      <c r="AO27" s="698"/>
      <c r="AP27" s="698"/>
      <c r="AQ27" s="698"/>
      <c r="AR27" s="698"/>
      <c r="AS27" s="698"/>
      <c r="AT27" s="698"/>
      <c r="AU27" s="698"/>
      <c r="AV27" s="698"/>
    </row>
    <row r="28" spans="1:50" s="222" customFormat="1" ht="12.75" customHeight="1" thickBot="1">
      <c r="A28"/>
      <c r="B28" s="720" t="s">
        <v>101</v>
      </c>
      <c r="C28" s="713" t="str">
        <f>INDEX(AK32:AK33,AH32,1)</f>
        <v>Следовательно ограждающая конструция удовлетворяет требования СНиП II-03-79* , п.5.1. так как:</v>
      </c>
      <c r="D28" s="205"/>
      <c r="E28" s="205"/>
      <c r="F28" s="205"/>
      <c r="G28" s="280"/>
      <c r="H28" s="205"/>
      <c r="I28" s="203"/>
      <c r="J28" s="645"/>
      <c r="K28" s="652"/>
      <c r="L28" s="651"/>
      <c r="M28" s="650"/>
      <c r="N28" s="651"/>
      <c r="O28" s="653"/>
      <c r="P28" s="650"/>
      <c r="Q28" s="654"/>
      <c r="R28" s="649"/>
      <c r="S28" s="649"/>
      <c r="T28" s="649"/>
      <c r="U28" s="649"/>
      <c r="V28" s="649"/>
      <c r="W28" s="649"/>
      <c r="X28" s="655"/>
      <c r="Y28" s="655"/>
      <c r="Z28" s="655"/>
      <c r="AA28" s="423"/>
      <c r="AB28" s="423"/>
      <c r="AC28" s="423"/>
      <c r="AD28" s="423"/>
      <c r="AE28" s="423"/>
      <c r="AF28" s="709"/>
      <c r="AG28" s="883"/>
      <c r="AH28" s="641" t="s">
        <v>376</v>
      </c>
      <c r="AI28" s="642"/>
      <c r="AJ28" s="642"/>
      <c r="AK28" s="642"/>
      <c r="AL28" s="643"/>
      <c r="AM28" s="930">
        <f>2*C14</f>
        <v>9.08</v>
      </c>
      <c r="AN28"/>
      <c r="AO28" s="821"/>
      <c r="AP28" s="821"/>
      <c r="AQ28" s="821"/>
      <c r="AR28" s="821"/>
      <c r="AS28" s="821"/>
      <c r="AT28" s="821"/>
      <c r="AU28" s="821"/>
      <c r="AV28" s="821"/>
      <c r="AW28" s="512"/>
      <c r="AX28" s="512"/>
    </row>
    <row r="29" spans="1:50" s="207" customFormat="1" ht="12.75" customHeight="1">
      <c r="A29"/>
      <c r="B29"/>
      <c r="C29" s="636" t="s">
        <v>387</v>
      </c>
      <c r="D29" s="571">
        <f>C26</f>
        <v>9.08</v>
      </c>
      <c r="E29" s="543" t="str">
        <f>INDEX(AI32:AI33,AH32,1)</f>
        <v>&lt;Yпreq=</v>
      </c>
      <c r="F29" s="572">
        <f>C8</f>
        <v>12</v>
      </c>
      <c r="G29" s="538" t="s">
        <v>356</v>
      </c>
      <c r="H29" s="205"/>
      <c r="I29" s="645"/>
      <c r="J29" s="658"/>
      <c r="K29" s="659"/>
      <c r="L29" s="660"/>
      <c r="M29" s="661"/>
      <c r="N29" s="649"/>
      <c r="O29" s="657"/>
      <c r="P29" s="660"/>
      <c r="Q29" s="657"/>
      <c r="R29" s="662"/>
      <c r="S29" s="649"/>
      <c r="T29" s="663"/>
      <c r="U29" s="649"/>
      <c r="V29" s="649"/>
      <c r="W29" s="649"/>
      <c r="X29" s="655"/>
      <c r="Y29" s="655"/>
      <c r="Z29" s="655"/>
      <c r="AA29" s="423"/>
      <c r="AB29" s="423"/>
      <c r="AC29" s="423"/>
      <c r="AD29" s="423"/>
      <c r="AE29" s="423"/>
      <c r="AF29" s="709"/>
      <c r="AG29" s="883"/>
      <c r="AH29"/>
      <c r="AI29"/>
      <c r="AJ29"/>
      <c r="AK29"/>
      <c r="AL29"/>
      <c r="AM29"/>
      <c r="AN29"/>
      <c r="AO29" s="821"/>
      <c r="AP29" s="821"/>
      <c r="AQ29" s="821"/>
      <c r="AR29" s="821"/>
      <c r="AS29" s="821"/>
      <c r="AT29" s="821"/>
      <c r="AU29" s="821"/>
      <c r="AV29" s="821"/>
      <c r="AW29" s="512"/>
      <c r="AX29" s="512"/>
    </row>
    <row r="30" spans="1:50" s="9" customFormat="1" ht="12.75" customHeight="1">
      <c r="A30" s="649"/>
      <c r="B30" s="664"/>
      <c r="C30" s="649"/>
      <c r="D30" s="649"/>
      <c r="E30" s="649"/>
      <c r="F30" s="649"/>
      <c r="G30" s="858"/>
      <c r="H30" s="950"/>
      <c r="I30" s="858"/>
      <c r="J30" s="858"/>
      <c r="K30" s="951"/>
      <c r="L30" s="950"/>
      <c r="M30" s="650"/>
      <c r="N30" s="666"/>
      <c r="O30" s="666"/>
      <c r="P30" s="667"/>
      <c r="Q30" s="666"/>
      <c r="R30" s="666"/>
      <c r="S30" s="666"/>
      <c r="T30" s="666"/>
      <c r="U30" s="666"/>
      <c r="V30" s="666"/>
      <c r="W30" s="666"/>
      <c r="X30" s="668"/>
      <c r="Y30" s="668"/>
      <c r="Z30" s="668"/>
      <c r="AA30" s="528"/>
      <c r="AB30" s="529"/>
      <c r="AC30" s="527"/>
      <c r="AD30" s="527"/>
      <c r="AE30" s="527"/>
      <c r="AF30" s="709"/>
      <c r="AG30" s="883"/>
      <c r="AH30" s="883"/>
      <c r="AI30" s="883"/>
      <c r="AJ30" s="883"/>
      <c r="AK30" s="883"/>
      <c r="AL30" s="883"/>
      <c r="AM30" s="883"/>
      <c r="AN30" s="883"/>
      <c r="AO30" s="883"/>
      <c r="AP30" s="883"/>
      <c r="AQ30" s="883"/>
      <c r="AR30" s="883"/>
      <c r="AS30" s="883"/>
      <c r="AT30" s="883"/>
      <c r="AU30" s="883"/>
      <c r="AV30" s="883"/>
      <c r="AW30" s="530"/>
      <c r="AX30" s="530"/>
    </row>
    <row r="31" spans="1:55" s="207" customFormat="1" ht="12.75" customHeight="1">
      <c r="A31" s="649"/>
      <c r="B31" s="664"/>
      <c r="C31" s="669"/>
      <c r="D31" s="669"/>
      <c r="E31" s="669"/>
      <c r="F31" s="669"/>
      <c r="G31" s="952"/>
      <c r="H31" s="952"/>
      <c r="I31" s="1083"/>
      <c r="J31" s="1083"/>
      <c r="K31" s="1090"/>
      <c r="L31" s="1091"/>
      <c r="M31" s="958"/>
      <c r="N31" s="1086"/>
      <c r="O31" s="649"/>
      <c r="P31" s="649"/>
      <c r="Q31" s="649"/>
      <c r="R31" s="649"/>
      <c r="S31" s="649"/>
      <c r="T31" s="649"/>
      <c r="U31" s="649"/>
      <c r="V31" s="649"/>
      <c r="W31" s="649"/>
      <c r="X31" s="655"/>
      <c r="Y31" s="655"/>
      <c r="Z31" s="655"/>
      <c r="AA31" s="423"/>
      <c r="AB31" s="423"/>
      <c r="AC31" s="423"/>
      <c r="AD31" s="423"/>
      <c r="AE31" s="423"/>
      <c r="AF31" s="709"/>
      <c r="AG31" s="883"/>
      <c r="AH31" s="883" t="s">
        <v>341</v>
      </c>
      <c r="AI31" s="883"/>
      <c r="AJ31" s="883"/>
      <c r="AK31" s="883"/>
      <c r="AL31" s="883"/>
      <c r="AM31" s="883"/>
      <c r="AN31" s="883"/>
      <c r="AO31" s="883"/>
      <c r="AP31" s="498"/>
      <c r="AQ31"/>
      <c r="AR31"/>
      <c r="AS31"/>
      <c r="AT31"/>
      <c r="AU31" s="883"/>
      <c r="AV31" s="883"/>
      <c r="AW31" s="512"/>
      <c r="AX31" s="512"/>
      <c r="AY31" s="222"/>
      <c r="AZ31" s="222"/>
      <c r="BA31" s="222"/>
      <c r="BB31" s="222"/>
      <c r="BC31" s="222"/>
    </row>
    <row r="32" spans="1:55" s="207" customFormat="1" ht="12.75" customHeight="1">
      <c r="A32" s="670"/>
      <c r="B32" s="670"/>
      <c r="C32" s="670"/>
      <c r="D32" s="670"/>
      <c r="E32" s="670"/>
      <c r="F32" s="670"/>
      <c r="G32" s="718"/>
      <c r="H32" s="718"/>
      <c r="I32" s="1091"/>
      <c r="J32" s="1081" t="s">
        <v>342</v>
      </c>
      <c r="K32" s="1091"/>
      <c r="L32" s="1091"/>
      <c r="M32" s="1087"/>
      <c r="N32" s="1086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205"/>
      <c r="AB32" s="205"/>
      <c r="AC32" s="205"/>
      <c r="AD32" s="205"/>
      <c r="AE32" s="205"/>
      <c r="AF32" s="205"/>
      <c r="AG32"/>
      <c r="AH32" s="688">
        <f>IF(C8&gt;=C26,1)+IF(C8&lt;C26,2)</f>
        <v>1</v>
      </c>
      <c r="AI32" s="543" t="s">
        <v>388</v>
      </c>
      <c r="AJ32" s="222">
        <v>1</v>
      </c>
      <c r="AK32" s="205" t="s">
        <v>389</v>
      </c>
      <c r="AL32" s="222"/>
      <c r="AM32" s="222"/>
      <c r="AN32" s="222"/>
      <c r="AO32" s="222"/>
      <c r="AP32"/>
      <c r="AQ32"/>
      <c r="AR32"/>
      <c r="AS32"/>
      <c r="AT32"/>
      <c r="AU32" s="222"/>
      <c r="AV32" s="222"/>
      <c r="AW32" s="222"/>
      <c r="AX32" s="222"/>
      <c r="AY32" s="222"/>
      <c r="AZ32" s="222"/>
      <c r="BA32" s="222"/>
      <c r="BB32" s="222"/>
      <c r="BC32" s="222"/>
    </row>
    <row r="33" spans="1:55" s="207" customFormat="1" ht="12.75" customHeight="1">
      <c r="A33" s="671"/>
      <c r="B33" s="672"/>
      <c r="C33" s="671"/>
      <c r="D33" s="671"/>
      <c r="E33" s="671"/>
      <c r="F33" s="671"/>
      <c r="G33" s="671"/>
      <c r="H33" s="671"/>
      <c r="I33" s="1086"/>
      <c r="J33" s="1086"/>
      <c r="K33" s="1086"/>
      <c r="L33" s="1086"/>
      <c r="M33" s="1086"/>
      <c r="N33" s="1086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205"/>
      <c r="AB33" s="205"/>
      <c r="AC33" s="205"/>
      <c r="AD33" s="205"/>
      <c r="AE33" s="205"/>
      <c r="AF33" s="205"/>
      <c r="AG33"/>
      <c r="AH33" s="222" t="s">
        <v>24</v>
      </c>
      <c r="AI33" s="543" t="s">
        <v>390</v>
      </c>
      <c r="AJ33" s="222">
        <v>2</v>
      </c>
      <c r="AK33" s="205" t="s">
        <v>345</v>
      </c>
      <c r="AL33" s="222"/>
      <c r="AM33" s="222"/>
      <c r="AN33" s="222"/>
      <c r="AO33" s="222"/>
      <c r="AP33"/>
      <c r="AQ33"/>
      <c r="AR33"/>
      <c r="AS33"/>
      <c r="AT33"/>
      <c r="AU33" s="222"/>
      <c r="AV33" s="222"/>
      <c r="AW33" s="222"/>
      <c r="AX33" s="222"/>
      <c r="AY33" s="222"/>
      <c r="AZ33" s="222"/>
      <c r="BA33" s="222"/>
      <c r="BB33" s="222"/>
      <c r="BC33" s="222"/>
    </row>
    <row r="34" spans="1:55" s="9" customFormat="1" ht="12.75" customHeight="1">
      <c r="A34" s="666"/>
      <c r="B34" s="669"/>
      <c r="C34" s="666"/>
      <c r="D34" s="666"/>
      <c r="E34" s="666"/>
      <c r="F34" s="666"/>
      <c r="G34" s="673"/>
      <c r="H34" s="666"/>
      <c r="I34" s="1092"/>
      <c r="J34" s="1092"/>
      <c r="K34" s="1093"/>
      <c r="L34" s="1087"/>
      <c r="M34" s="1094"/>
      <c r="N34" s="1087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25"/>
      <c r="AB34" s="25"/>
      <c r="AC34" s="25"/>
      <c r="AD34" s="25"/>
      <c r="AE34" s="25"/>
      <c r="AF34" s="25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9" customFormat="1" ht="12.75" customHeight="1">
      <c r="A35" s="666"/>
      <c r="B35" s="685"/>
      <c r="C35" s="655"/>
      <c r="D35" s="649"/>
      <c r="E35" s="649"/>
      <c r="F35" s="649"/>
      <c r="G35" s="673"/>
      <c r="H35" s="666"/>
      <c r="I35" s="673"/>
      <c r="J35" s="673"/>
      <c r="K35" s="674"/>
      <c r="L35" s="666"/>
      <c r="M35" s="675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25"/>
      <c r="AB35" s="25"/>
      <c r="AC35" s="25"/>
      <c r="AD35" s="25"/>
      <c r="AE35" s="25"/>
      <c r="AF35" s="25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9" customFormat="1" ht="12.75" customHeight="1">
      <c r="A36" s="666"/>
      <c r="B36" s="686"/>
      <c r="C36" s="655"/>
      <c r="D36" s="649"/>
      <c r="E36" s="649"/>
      <c r="F36" s="649"/>
      <c r="G36" s="673"/>
      <c r="H36" s="666"/>
      <c r="I36" s="673"/>
      <c r="J36" s="673"/>
      <c r="K36" s="674"/>
      <c r="L36" s="666"/>
      <c r="M36" s="675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25"/>
      <c r="AB36" s="25"/>
      <c r="AC36" s="25"/>
      <c r="AD36" s="25"/>
      <c r="AE36" s="25"/>
      <c r="AF36" s="25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9" customFormat="1" ht="12.75" customHeight="1">
      <c r="A37" s="666"/>
      <c r="B37" s="655"/>
      <c r="C37" s="655"/>
      <c r="D37" s="649"/>
      <c r="E37" s="649"/>
      <c r="F37" s="649"/>
      <c r="G37" s="673"/>
      <c r="H37" s="666"/>
      <c r="I37" s="673"/>
      <c r="J37" s="673"/>
      <c r="K37" s="674"/>
      <c r="L37" s="666"/>
      <c r="M37" s="675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25"/>
      <c r="AB37" s="25"/>
      <c r="AC37" s="25"/>
      <c r="AD37" s="25"/>
      <c r="AE37" s="25"/>
      <c r="AF37" s="25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32" s="9" customFormat="1" ht="12.75" customHeight="1">
      <c r="A38" s="666"/>
      <c r="B38" s="655"/>
      <c r="C38" s="655"/>
      <c r="D38" s="649"/>
      <c r="E38" s="649"/>
      <c r="F38" s="649"/>
      <c r="G38" s="673"/>
      <c r="H38" s="666"/>
      <c r="I38" s="673"/>
      <c r="J38" s="673"/>
      <c r="K38" s="674"/>
      <c r="L38" s="666"/>
      <c r="M38" s="675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23"/>
      <c r="AB38" s="23"/>
      <c r="AC38" s="23"/>
      <c r="AD38" s="23"/>
      <c r="AE38" s="23"/>
      <c r="AF38" s="23"/>
    </row>
    <row r="39" spans="1:32" s="9" customFormat="1" ht="12.75" customHeight="1">
      <c r="A39" s="666"/>
      <c r="B39" s="687"/>
      <c r="C39" s="655"/>
      <c r="D39" s="676"/>
      <c r="E39" s="666"/>
      <c r="F39" s="666"/>
      <c r="G39" s="673"/>
      <c r="H39" s="666"/>
      <c r="I39" s="673"/>
      <c r="J39" s="673"/>
      <c r="K39" s="674"/>
      <c r="L39" s="666"/>
      <c r="M39" s="675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23"/>
      <c r="AB39" s="23"/>
      <c r="AC39" s="23"/>
      <c r="AD39" s="23"/>
      <c r="AE39" s="23"/>
      <c r="AF39" s="23"/>
    </row>
    <row r="40" spans="1:32" s="9" customFormat="1" ht="12.75" customHeight="1">
      <c r="A40" s="666"/>
      <c r="B40" s="665"/>
      <c r="C40" s="677"/>
      <c r="D40" s="649"/>
      <c r="E40" s="666"/>
      <c r="F40" s="666"/>
      <c r="G40" s="673"/>
      <c r="H40" s="666"/>
      <c r="I40" s="673"/>
      <c r="J40" s="673"/>
      <c r="K40" s="674"/>
      <c r="L40" s="666"/>
      <c r="M40" s="675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23"/>
      <c r="AB40" s="23"/>
      <c r="AC40" s="23"/>
      <c r="AD40" s="23"/>
      <c r="AE40" s="23"/>
      <c r="AF40" s="23"/>
    </row>
    <row r="41" spans="1:32" s="207" customFormat="1" ht="12.75" customHeight="1">
      <c r="A41" s="649"/>
      <c r="B41" s="678"/>
      <c r="C41" s="671"/>
      <c r="D41" s="671"/>
      <c r="E41" s="649"/>
      <c r="F41" s="649"/>
      <c r="G41" s="654"/>
      <c r="H41" s="649"/>
      <c r="I41" s="654"/>
      <c r="J41" s="654"/>
      <c r="K41" s="665"/>
      <c r="L41" s="649"/>
      <c r="M41" s="650"/>
      <c r="N41" s="649"/>
      <c r="O41" s="649"/>
      <c r="P41" s="649"/>
      <c r="Q41" s="649"/>
      <c r="R41" s="649"/>
      <c r="S41" s="649"/>
      <c r="T41" s="649"/>
      <c r="U41" s="649"/>
      <c r="V41" s="649"/>
      <c r="W41" s="649"/>
      <c r="X41" s="649"/>
      <c r="Y41" s="649"/>
      <c r="Z41" s="649"/>
      <c r="AA41" s="203"/>
      <c r="AB41" s="203"/>
      <c r="AC41" s="203"/>
      <c r="AD41" s="203"/>
      <c r="AE41" s="203"/>
      <c r="AF41" s="203"/>
    </row>
    <row r="42" spans="1:32" s="207" customFormat="1" ht="12.75" customHeight="1">
      <c r="A42" s="649"/>
      <c r="B42" s="679"/>
      <c r="C42" s="680"/>
      <c r="D42" s="681"/>
      <c r="E42" s="649"/>
      <c r="F42" s="649"/>
      <c r="G42" s="654"/>
      <c r="H42" s="649"/>
      <c r="I42" s="654"/>
      <c r="J42" s="654"/>
      <c r="K42" s="665"/>
      <c r="L42" s="649"/>
      <c r="M42" s="650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203"/>
      <c r="AB42" s="203"/>
      <c r="AC42" s="203"/>
      <c r="AD42" s="203"/>
      <c r="AE42" s="203"/>
      <c r="AF42" s="203"/>
    </row>
    <row r="43" spans="1:32" s="207" customFormat="1" ht="12.75" customHeight="1">
      <c r="A43" s="649"/>
      <c r="B43" s="649"/>
      <c r="C43" s="679"/>
      <c r="D43" s="656"/>
      <c r="E43" s="682"/>
      <c r="F43" s="683"/>
      <c r="G43" s="684"/>
      <c r="H43" s="649"/>
      <c r="I43" s="654"/>
      <c r="J43" s="654"/>
      <c r="K43" s="665"/>
      <c r="L43" s="649"/>
      <c r="M43" s="650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203"/>
      <c r="AB43" s="203"/>
      <c r="AC43" s="203"/>
      <c r="AD43" s="203"/>
      <c r="AE43" s="203"/>
      <c r="AF43" s="203"/>
    </row>
    <row r="44" spans="2:13" s="207" customFormat="1" ht="12.75" customHeight="1">
      <c r="B44" s="222"/>
      <c r="C44" s="222"/>
      <c r="D44" s="222"/>
      <c r="E44" s="222"/>
      <c r="F44" s="222"/>
      <c r="G44" s="581"/>
      <c r="H44" s="222"/>
      <c r="I44" s="581"/>
      <c r="J44" s="581"/>
      <c r="K44" s="582"/>
      <c r="M44" s="583"/>
    </row>
    <row r="45" spans="2:13" s="207" customFormat="1" ht="12.75" customHeight="1">
      <c r="B45" s="600"/>
      <c r="C45" s="222"/>
      <c r="D45" s="222"/>
      <c r="E45" s="222"/>
      <c r="F45" s="222"/>
      <c r="G45" s="581"/>
      <c r="H45" s="222"/>
      <c r="I45" s="581"/>
      <c r="J45" s="581"/>
      <c r="K45" s="582"/>
      <c r="M45" s="583"/>
    </row>
    <row r="46" spans="2:13" s="207" customFormat="1" ht="12.75" customHeight="1">
      <c r="B46" s="222"/>
      <c r="C46" s="222"/>
      <c r="D46" s="222"/>
      <c r="E46" s="222"/>
      <c r="F46" s="222"/>
      <c r="G46" s="581"/>
      <c r="H46" s="222"/>
      <c r="I46" s="581"/>
      <c r="J46" s="581"/>
      <c r="K46" s="582"/>
      <c r="M46" s="583"/>
    </row>
    <row r="47" spans="2:13" s="207" customFormat="1" ht="12.75" customHeight="1">
      <c r="B47" s="222"/>
      <c r="C47" s="222"/>
      <c r="D47" s="222"/>
      <c r="E47" s="222"/>
      <c r="F47" s="222"/>
      <c r="G47" s="581"/>
      <c r="H47" s="222"/>
      <c r="I47" s="581"/>
      <c r="J47" s="581"/>
      <c r="K47" s="582"/>
      <c r="M47" s="583"/>
    </row>
    <row r="48" spans="2:13" s="207" customFormat="1" ht="12.75" customHeight="1">
      <c r="B48" s="222"/>
      <c r="C48" s="222"/>
      <c r="D48" s="222"/>
      <c r="E48" s="222"/>
      <c r="F48" s="222"/>
      <c r="G48" s="581"/>
      <c r="H48" s="222"/>
      <c r="I48" s="581"/>
      <c r="J48" s="581"/>
      <c r="K48" s="582"/>
      <c r="M48" s="583"/>
    </row>
    <row r="49" spans="2:13" s="9" customFormat="1" ht="12.75" customHeight="1">
      <c r="B49" s="12"/>
      <c r="C49" s="12"/>
      <c r="D49" s="12"/>
      <c r="E49" s="12"/>
      <c r="F49" s="12"/>
      <c r="G49" s="13"/>
      <c r="H49" s="12"/>
      <c r="I49" s="13"/>
      <c r="J49" s="13"/>
      <c r="K49" s="86"/>
      <c r="M49" s="11"/>
    </row>
    <row r="50" spans="2:13" s="9" customFormat="1" ht="12.75" customHeight="1">
      <c r="B50" s="12"/>
      <c r="C50" s="12"/>
      <c r="D50" s="12"/>
      <c r="E50" s="12"/>
      <c r="F50" s="12"/>
      <c r="G50" s="13"/>
      <c r="H50" s="12"/>
      <c r="I50" s="13"/>
      <c r="J50" s="13"/>
      <c r="K50" s="86"/>
      <c r="M50" s="11"/>
    </row>
    <row r="51" spans="2:13" s="9" customFormat="1" ht="12.75" customHeight="1">
      <c r="B51" s="12"/>
      <c r="C51" s="12"/>
      <c r="D51" s="12"/>
      <c r="E51" s="12"/>
      <c r="F51" s="12"/>
      <c r="G51" s="13"/>
      <c r="H51" s="12"/>
      <c r="I51" s="13"/>
      <c r="J51" s="13"/>
      <c r="K51" s="86"/>
      <c r="M51" s="11"/>
    </row>
    <row r="52" spans="2:13" s="9" customFormat="1" ht="12.75" customHeight="1">
      <c r="B52" s="12"/>
      <c r="C52" s="12"/>
      <c r="D52" s="12"/>
      <c r="E52" s="12"/>
      <c r="F52" s="12"/>
      <c r="G52" s="13"/>
      <c r="H52" s="12"/>
      <c r="I52" s="13"/>
      <c r="J52" s="13"/>
      <c r="K52" s="86"/>
      <c r="M52" s="11"/>
    </row>
    <row r="53" spans="2:13" s="9" customFormat="1" ht="12.75" customHeight="1">
      <c r="B53" s="12"/>
      <c r="C53" s="12"/>
      <c r="D53" s="12"/>
      <c r="E53" s="12"/>
      <c r="F53" s="12"/>
      <c r="G53" s="13"/>
      <c r="H53" s="12"/>
      <c r="I53" s="13"/>
      <c r="J53" s="13"/>
      <c r="K53" s="86"/>
      <c r="M53" s="11"/>
    </row>
    <row r="54" spans="2:13" s="9" customFormat="1" ht="12.75" customHeight="1">
      <c r="B54" s="12"/>
      <c r="C54" s="12"/>
      <c r="D54" s="12"/>
      <c r="E54" s="12"/>
      <c r="F54" s="12"/>
      <c r="G54" s="13"/>
      <c r="H54" s="12"/>
      <c r="I54" s="13"/>
      <c r="J54" s="13"/>
      <c r="K54" s="86"/>
      <c r="M54" s="11"/>
    </row>
    <row r="55" spans="2:13" s="9" customFormat="1" ht="12.75" customHeight="1">
      <c r="B55" s="12"/>
      <c r="C55" s="12"/>
      <c r="D55" s="12"/>
      <c r="E55" s="12"/>
      <c r="F55" s="12"/>
      <c r="G55" s="13"/>
      <c r="H55" s="12"/>
      <c r="I55" s="13"/>
      <c r="J55" s="13"/>
      <c r="K55" s="86"/>
      <c r="M55" s="11"/>
    </row>
    <row r="56" spans="2:13" s="9" customFormat="1" ht="12.75" customHeight="1">
      <c r="B56" s="12"/>
      <c r="C56" s="12"/>
      <c r="D56" s="12"/>
      <c r="E56" s="12"/>
      <c r="F56" s="12"/>
      <c r="G56" s="13"/>
      <c r="H56" s="12"/>
      <c r="I56" s="13"/>
      <c r="J56" s="13"/>
      <c r="K56" s="86"/>
      <c r="M56" s="11"/>
    </row>
    <row r="57" spans="2:13" s="9" customFormat="1" ht="12.75" customHeight="1">
      <c r="B57" s="12"/>
      <c r="C57" s="12"/>
      <c r="D57" s="12"/>
      <c r="E57" s="12"/>
      <c r="F57" s="12"/>
      <c r="G57" s="13"/>
      <c r="H57" s="12"/>
      <c r="I57" s="13"/>
      <c r="J57" s="13"/>
      <c r="K57" s="86"/>
      <c r="M57" s="11"/>
    </row>
    <row r="58" spans="2:13" s="9" customFormat="1" ht="12.75" customHeight="1">
      <c r="B58" s="12"/>
      <c r="C58" s="12"/>
      <c r="D58" s="12"/>
      <c r="E58" s="12"/>
      <c r="F58" s="12"/>
      <c r="G58" s="13"/>
      <c r="H58" s="12"/>
      <c r="I58" s="13"/>
      <c r="J58" s="13"/>
      <c r="K58" s="86"/>
      <c r="M58" s="11"/>
    </row>
    <row r="59" spans="2:13" s="9" customFormat="1" ht="12.75" customHeight="1">
      <c r="B59" s="12"/>
      <c r="C59" s="12"/>
      <c r="D59" s="12"/>
      <c r="E59" s="12"/>
      <c r="F59" s="12"/>
      <c r="G59" s="13"/>
      <c r="H59" s="12"/>
      <c r="I59" s="13"/>
      <c r="J59" s="13"/>
      <c r="K59" s="86"/>
      <c r="M59" s="11"/>
    </row>
    <row r="60" spans="2:13" s="9" customFormat="1" ht="12.75" customHeight="1">
      <c r="B60" s="12"/>
      <c r="C60" s="12"/>
      <c r="D60" s="12"/>
      <c r="E60" s="12"/>
      <c r="F60" s="12"/>
      <c r="G60" s="13"/>
      <c r="H60" s="12"/>
      <c r="I60" s="13"/>
      <c r="J60" s="13"/>
      <c r="K60" s="86"/>
      <c r="M60" s="11"/>
    </row>
    <row r="61" spans="2:13" s="9" customFormat="1" ht="12.75" customHeight="1">
      <c r="B61" s="12"/>
      <c r="C61" s="12"/>
      <c r="D61" s="12"/>
      <c r="E61" s="12"/>
      <c r="F61" s="12"/>
      <c r="G61" s="13"/>
      <c r="H61" s="12"/>
      <c r="I61" s="13"/>
      <c r="J61" s="13"/>
      <c r="K61" s="86"/>
      <c r="M61" s="11"/>
    </row>
    <row r="62" spans="2:13" s="9" customFormat="1" ht="12.75" customHeight="1">
      <c r="B62" s="12"/>
      <c r="C62" s="12"/>
      <c r="D62" s="12"/>
      <c r="E62" s="12"/>
      <c r="F62" s="12"/>
      <c r="G62" s="13"/>
      <c r="H62" s="12"/>
      <c r="I62" s="13"/>
      <c r="J62" s="13"/>
      <c r="K62" s="86"/>
      <c r="M62" s="11"/>
    </row>
    <row r="63" spans="2:13" s="9" customFormat="1" ht="12.75" customHeight="1">
      <c r="B63" s="12"/>
      <c r="C63" s="12"/>
      <c r="D63" s="12"/>
      <c r="E63" s="12"/>
      <c r="F63" s="12"/>
      <c r="G63" s="13"/>
      <c r="H63" s="12"/>
      <c r="I63" s="13"/>
      <c r="J63" s="13"/>
      <c r="K63" s="86"/>
      <c r="M63" s="11"/>
    </row>
    <row r="64" spans="2:13" s="9" customFormat="1" ht="12.75" customHeight="1">
      <c r="B64" s="12"/>
      <c r="C64" s="12"/>
      <c r="D64" s="12"/>
      <c r="E64" s="12"/>
      <c r="F64" s="12"/>
      <c r="G64" s="13"/>
      <c r="H64" s="12"/>
      <c r="I64" s="13"/>
      <c r="J64" s="13"/>
      <c r="K64" s="86"/>
      <c r="M64" s="11"/>
    </row>
    <row r="65" spans="2:13" s="9" customFormat="1" ht="12.75" customHeight="1">
      <c r="B65" s="12"/>
      <c r="C65" s="12"/>
      <c r="D65" s="12"/>
      <c r="E65" s="12"/>
      <c r="F65" s="12"/>
      <c r="G65" s="13"/>
      <c r="H65" s="12"/>
      <c r="I65" s="13"/>
      <c r="J65" s="13"/>
      <c r="K65" s="86"/>
      <c r="M65" s="11"/>
    </row>
    <row r="66" spans="2:13" s="9" customFormat="1" ht="12.75" customHeight="1">
      <c r="B66" s="12"/>
      <c r="C66" s="12"/>
      <c r="D66" s="12"/>
      <c r="E66" s="12"/>
      <c r="F66" s="12"/>
      <c r="G66" s="13"/>
      <c r="H66" s="12"/>
      <c r="I66" s="13"/>
      <c r="J66" s="13"/>
      <c r="K66" s="86"/>
      <c r="M66" s="11"/>
    </row>
    <row r="67" spans="2:13" s="9" customFormat="1" ht="12.75" customHeight="1">
      <c r="B67" s="12"/>
      <c r="C67" s="12"/>
      <c r="D67" s="12"/>
      <c r="E67" s="12"/>
      <c r="F67" s="12"/>
      <c r="G67" s="13"/>
      <c r="H67" s="12"/>
      <c r="I67" s="13"/>
      <c r="J67" s="13"/>
      <c r="K67" s="86"/>
      <c r="M67" s="11"/>
    </row>
    <row r="68" spans="2:13" s="9" customFormat="1" ht="12.75" customHeight="1">
      <c r="B68" s="12"/>
      <c r="C68" s="12"/>
      <c r="D68" s="12"/>
      <c r="E68" s="12"/>
      <c r="F68" s="12"/>
      <c r="G68" s="13"/>
      <c r="H68" s="12"/>
      <c r="I68" s="13"/>
      <c r="J68" s="13"/>
      <c r="K68" s="86"/>
      <c r="M68" s="11"/>
    </row>
    <row r="69" spans="2:13" s="9" customFormat="1" ht="12.75" customHeight="1">
      <c r="B69" s="12"/>
      <c r="C69" s="12"/>
      <c r="D69" s="12"/>
      <c r="E69" s="12"/>
      <c r="F69" s="12"/>
      <c r="G69" s="13"/>
      <c r="H69" s="12"/>
      <c r="I69" s="13"/>
      <c r="J69" s="13"/>
      <c r="K69" s="86"/>
      <c r="M69" s="11"/>
    </row>
    <row r="70" spans="2:13" s="9" customFormat="1" ht="12.75" customHeight="1">
      <c r="B70" s="12"/>
      <c r="C70" s="12"/>
      <c r="D70" s="12"/>
      <c r="E70" s="12"/>
      <c r="F70" s="12"/>
      <c r="G70" s="13"/>
      <c r="H70" s="12"/>
      <c r="I70" s="13"/>
      <c r="J70" s="13"/>
      <c r="K70" s="86"/>
      <c r="M70" s="11"/>
    </row>
    <row r="71" spans="2:13" s="9" customFormat="1" ht="12.75" customHeight="1">
      <c r="B71" s="12"/>
      <c r="C71" s="12"/>
      <c r="D71" s="12"/>
      <c r="E71" s="12"/>
      <c r="F71" s="12"/>
      <c r="G71" s="13"/>
      <c r="H71" s="12"/>
      <c r="I71" s="13"/>
      <c r="J71" s="13"/>
      <c r="K71" s="86"/>
      <c r="M71" s="11"/>
    </row>
    <row r="72" spans="2:13" s="9" customFormat="1" ht="12.75" customHeight="1">
      <c r="B72" s="12"/>
      <c r="C72" s="12"/>
      <c r="D72" s="12"/>
      <c r="E72" s="12"/>
      <c r="F72" s="12"/>
      <c r="G72" s="13"/>
      <c r="H72" s="12"/>
      <c r="I72" s="13"/>
      <c r="J72" s="13"/>
      <c r="K72" s="86"/>
      <c r="M72" s="11"/>
    </row>
    <row r="73" spans="2:13" s="9" customFormat="1" ht="12.75" customHeight="1">
      <c r="B73" s="12"/>
      <c r="C73" s="12"/>
      <c r="D73" s="12"/>
      <c r="E73" s="12"/>
      <c r="F73" s="12"/>
      <c r="G73" s="13"/>
      <c r="H73" s="12"/>
      <c r="I73" s="13"/>
      <c r="J73" s="13"/>
      <c r="K73" s="86"/>
      <c r="M73" s="11"/>
    </row>
    <row r="74" spans="2:13" s="9" customFormat="1" ht="12.75" customHeight="1">
      <c r="B74" s="12"/>
      <c r="C74" s="12"/>
      <c r="D74" s="12"/>
      <c r="E74" s="12"/>
      <c r="F74" s="12"/>
      <c r="G74" s="13"/>
      <c r="H74" s="12"/>
      <c r="I74" s="13"/>
      <c r="J74" s="13"/>
      <c r="K74" s="86"/>
      <c r="M74" s="11"/>
    </row>
    <row r="75" spans="7:13" s="9" customFormat="1" ht="12.75" customHeight="1">
      <c r="G75" s="10"/>
      <c r="I75" s="10"/>
      <c r="J75" s="10"/>
      <c r="K75" s="86"/>
      <c r="M75" s="11"/>
    </row>
    <row r="76" spans="7:13" s="9" customFormat="1" ht="12.75" customHeight="1">
      <c r="G76" s="10"/>
      <c r="I76" s="10"/>
      <c r="J76" s="10"/>
      <c r="K76" s="86"/>
      <c r="M76" s="11"/>
    </row>
    <row r="77" spans="7:13" s="9" customFormat="1" ht="12.75" customHeight="1">
      <c r="G77" s="10"/>
      <c r="I77" s="10"/>
      <c r="J77" s="10"/>
      <c r="K77" s="86"/>
      <c r="M77" s="11"/>
    </row>
    <row r="78" spans="7:13" s="9" customFormat="1" ht="12.75" customHeight="1">
      <c r="G78" s="10"/>
      <c r="I78" s="10"/>
      <c r="J78" s="10"/>
      <c r="K78" s="86"/>
      <c r="M78" s="11"/>
    </row>
    <row r="79" spans="7:13" s="9" customFormat="1" ht="12.75" customHeight="1">
      <c r="G79" s="10"/>
      <c r="I79" s="10"/>
      <c r="J79" s="10"/>
      <c r="K79" s="86"/>
      <c r="M79" s="11"/>
    </row>
    <row r="80" spans="7:13" s="9" customFormat="1" ht="12.75" customHeight="1">
      <c r="G80" s="10"/>
      <c r="I80" s="10"/>
      <c r="J80" s="10"/>
      <c r="K80" s="86"/>
      <c r="M80" s="11"/>
    </row>
    <row r="81" spans="7:13" s="9" customFormat="1" ht="12.75" customHeight="1">
      <c r="G81" s="10"/>
      <c r="I81" s="10"/>
      <c r="J81" s="10"/>
      <c r="K81" s="86"/>
      <c r="M81" s="11"/>
    </row>
    <row r="82" spans="7:13" s="9" customFormat="1" ht="12.75" customHeight="1">
      <c r="G82" s="10"/>
      <c r="I82" s="10"/>
      <c r="J82" s="10"/>
      <c r="K82" s="86"/>
      <c r="M82" s="11"/>
    </row>
    <row r="83" spans="7:13" s="9" customFormat="1" ht="12.75" customHeight="1">
      <c r="G83" s="10"/>
      <c r="I83" s="10"/>
      <c r="J83" s="10"/>
      <c r="K83" s="86"/>
      <c r="M83" s="11"/>
    </row>
    <row r="84" spans="7:13" s="9" customFormat="1" ht="12.75" customHeight="1">
      <c r="G84" s="10"/>
      <c r="I84" s="10"/>
      <c r="J84" s="10"/>
      <c r="K84" s="86"/>
      <c r="M84" s="11"/>
    </row>
    <row r="85" spans="7:13" s="9" customFormat="1" ht="12.75" customHeight="1">
      <c r="G85" s="10"/>
      <c r="I85" s="10"/>
      <c r="J85" s="10"/>
      <c r="K85" s="86"/>
      <c r="M85" s="11"/>
    </row>
    <row r="86" spans="7:13" s="9" customFormat="1" ht="12.75" customHeight="1">
      <c r="G86" s="10"/>
      <c r="I86" s="10"/>
      <c r="J86" s="10"/>
      <c r="K86" s="86"/>
      <c r="M86" s="11"/>
    </row>
    <row r="87" spans="7:13" s="9" customFormat="1" ht="12.75" customHeight="1">
      <c r="G87" s="10"/>
      <c r="I87" s="10"/>
      <c r="J87" s="10"/>
      <c r="K87" s="86"/>
      <c r="M87" s="11"/>
    </row>
    <row r="88" spans="7:13" s="9" customFormat="1" ht="12.75" customHeight="1">
      <c r="G88" s="10"/>
      <c r="I88" s="10"/>
      <c r="J88" s="10"/>
      <c r="K88" s="86"/>
      <c r="M88" s="11"/>
    </row>
    <row r="89" spans="7:13" s="9" customFormat="1" ht="12.75" customHeight="1">
      <c r="G89" s="10"/>
      <c r="I89" s="10"/>
      <c r="J89" s="10"/>
      <c r="K89" s="86"/>
      <c r="M89" s="11"/>
    </row>
    <row r="90" spans="7:13" s="9" customFormat="1" ht="12.75" customHeight="1">
      <c r="G90" s="10"/>
      <c r="I90" s="10"/>
      <c r="J90" s="10"/>
      <c r="K90" s="86"/>
      <c r="M90" s="11"/>
    </row>
    <row r="91" spans="7:13" s="9" customFormat="1" ht="12.75" customHeight="1">
      <c r="G91" s="10"/>
      <c r="I91" s="10"/>
      <c r="J91" s="10"/>
      <c r="K91" s="86"/>
      <c r="M91" s="11"/>
    </row>
    <row r="92" spans="7:13" s="9" customFormat="1" ht="12.75" customHeight="1">
      <c r="G92" s="10"/>
      <c r="I92" s="10"/>
      <c r="J92" s="10"/>
      <c r="K92" s="86"/>
      <c r="M92" s="11"/>
    </row>
    <row r="93" spans="7:13" s="9" customFormat="1" ht="12.75" customHeight="1">
      <c r="G93" s="10"/>
      <c r="I93" s="10"/>
      <c r="J93" s="10"/>
      <c r="K93" s="86"/>
      <c r="M93" s="11"/>
    </row>
    <row r="94" spans="7:13" s="9" customFormat="1" ht="12.75" customHeight="1">
      <c r="G94" s="10"/>
      <c r="I94" s="10"/>
      <c r="J94" s="10"/>
      <c r="K94" s="86"/>
      <c r="M94" s="11"/>
    </row>
    <row r="95" spans="7:13" s="9" customFormat="1" ht="12.75" customHeight="1">
      <c r="G95" s="10"/>
      <c r="I95" s="10"/>
      <c r="J95" s="10"/>
      <c r="K95" s="86"/>
      <c r="M95" s="11"/>
    </row>
    <row r="96" spans="7:13" s="9" customFormat="1" ht="12.75" customHeight="1">
      <c r="G96" s="10"/>
      <c r="I96" s="10"/>
      <c r="J96" s="10"/>
      <c r="K96" s="86"/>
      <c r="M96" s="11"/>
    </row>
    <row r="97" spans="7:13" s="9" customFormat="1" ht="12.75" customHeight="1">
      <c r="G97" s="10"/>
      <c r="I97" s="10"/>
      <c r="J97" s="10"/>
      <c r="K97" s="86"/>
      <c r="M97" s="11"/>
    </row>
    <row r="98" spans="7:13" s="9" customFormat="1" ht="12.75" customHeight="1">
      <c r="G98" s="10"/>
      <c r="I98" s="10"/>
      <c r="J98" s="10"/>
      <c r="K98" s="86"/>
      <c r="M98" s="11"/>
    </row>
    <row r="99" spans="7:13" s="9" customFormat="1" ht="12.75" customHeight="1">
      <c r="G99" s="10"/>
      <c r="I99" s="10"/>
      <c r="J99" s="10"/>
      <c r="K99" s="86"/>
      <c r="M99" s="11"/>
    </row>
    <row r="100" spans="7:13" s="9" customFormat="1" ht="12.75" customHeight="1">
      <c r="G100" s="10"/>
      <c r="I100" s="10"/>
      <c r="J100" s="10"/>
      <c r="K100" s="86"/>
      <c r="M100" s="11"/>
    </row>
    <row r="101" spans="7:13" s="9" customFormat="1" ht="12.75" customHeight="1">
      <c r="G101" s="10"/>
      <c r="I101" s="10"/>
      <c r="J101" s="10"/>
      <c r="K101" s="86"/>
      <c r="M101" s="11"/>
    </row>
    <row r="102" spans="7:13" s="9" customFormat="1" ht="12.75" customHeight="1">
      <c r="G102" s="10"/>
      <c r="I102" s="10"/>
      <c r="J102" s="10"/>
      <c r="K102" s="86"/>
      <c r="M102" s="11"/>
    </row>
    <row r="103" spans="7:13" s="9" customFormat="1" ht="12.75" customHeight="1">
      <c r="G103" s="10"/>
      <c r="I103" s="10"/>
      <c r="J103" s="10"/>
      <c r="K103" s="86"/>
      <c r="M103" s="11"/>
    </row>
    <row r="104" spans="7:13" s="9" customFormat="1" ht="12.75" customHeight="1">
      <c r="G104" s="10"/>
      <c r="I104" s="10"/>
      <c r="J104" s="10"/>
      <c r="K104" s="86"/>
      <c r="M104" s="11"/>
    </row>
    <row r="105" spans="7:13" s="9" customFormat="1" ht="12.75" customHeight="1">
      <c r="G105" s="10"/>
      <c r="I105" s="10"/>
      <c r="J105" s="10"/>
      <c r="K105" s="86"/>
      <c r="M105" s="11"/>
    </row>
    <row r="106" spans="7:13" s="9" customFormat="1" ht="12.75" customHeight="1">
      <c r="G106" s="10"/>
      <c r="I106" s="10"/>
      <c r="J106" s="10"/>
      <c r="K106" s="86"/>
      <c r="M106" s="11"/>
    </row>
    <row r="107" spans="7:13" s="9" customFormat="1" ht="12.75" customHeight="1">
      <c r="G107" s="10"/>
      <c r="I107" s="10"/>
      <c r="J107" s="10"/>
      <c r="K107" s="86"/>
      <c r="M107" s="11"/>
    </row>
    <row r="108" spans="7:13" s="9" customFormat="1" ht="12.75" customHeight="1">
      <c r="G108" s="10"/>
      <c r="I108" s="10"/>
      <c r="J108" s="10"/>
      <c r="K108" s="86"/>
      <c r="M108" s="11"/>
    </row>
    <row r="109" spans="7:13" s="9" customFormat="1" ht="12.75" customHeight="1">
      <c r="G109" s="10"/>
      <c r="I109" s="10"/>
      <c r="J109" s="10"/>
      <c r="K109" s="86"/>
      <c r="M109" s="11"/>
    </row>
    <row r="110" spans="7:13" s="9" customFormat="1" ht="12.75" customHeight="1">
      <c r="G110" s="10"/>
      <c r="I110" s="10"/>
      <c r="J110" s="10"/>
      <c r="K110" s="86"/>
      <c r="M110" s="11"/>
    </row>
    <row r="111" spans="7:13" s="9" customFormat="1" ht="12.75" customHeight="1">
      <c r="G111" s="10"/>
      <c r="I111" s="10"/>
      <c r="J111" s="10"/>
      <c r="K111" s="86"/>
      <c r="M111" s="11"/>
    </row>
    <row r="112" spans="7:13" s="9" customFormat="1" ht="12.75" customHeight="1">
      <c r="G112" s="10"/>
      <c r="I112" s="10"/>
      <c r="J112" s="10"/>
      <c r="K112" s="86"/>
      <c r="M112" s="11"/>
    </row>
    <row r="113" spans="7:13" s="9" customFormat="1" ht="12.75" customHeight="1">
      <c r="G113" s="10"/>
      <c r="I113" s="10"/>
      <c r="J113" s="10"/>
      <c r="K113" s="86"/>
      <c r="M113" s="11"/>
    </row>
    <row r="114" spans="7:13" s="9" customFormat="1" ht="12.75" customHeight="1">
      <c r="G114" s="10"/>
      <c r="I114" s="10"/>
      <c r="J114" s="10"/>
      <c r="K114" s="86"/>
      <c r="M114" s="11"/>
    </row>
    <row r="115" spans="7:13" s="9" customFormat="1" ht="12.75" customHeight="1">
      <c r="G115" s="10"/>
      <c r="I115" s="10"/>
      <c r="J115" s="10"/>
      <c r="K115" s="86"/>
      <c r="M115" s="11"/>
    </row>
    <row r="116" spans="7:13" s="9" customFormat="1" ht="12.75" customHeight="1">
      <c r="G116" s="10"/>
      <c r="I116" s="10"/>
      <c r="J116" s="10"/>
      <c r="K116" s="86"/>
      <c r="M116" s="11"/>
    </row>
    <row r="117" spans="7:13" s="9" customFormat="1" ht="12.75" customHeight="1">
      <c r="G117" s="10"/>
      <c r="I117" s="10"/>
      <c r="J117" s="10"/>
      <c r="K117" s="86"/>
      <c r="M117" s="11"/>
    </row>
    <row r="118" spans="7:13" s="9" customFormat="1" ht="12.75" customHeight="1">
      <c r="G118" s="10"/>
      <c r="I118" s="10"/>
      <c r="J118" s="10"/>
      <c r="K118" s="86"/>
      <c r="M118" s="11"/>
    </row>
    <row r="119" spans="7:13" s="9" customFormat="1" ht="12.75" customHeight="1">
      <c r="G119" s="10"/>
      <c r="I119" s="10"/>
      <c r="J119" s="10"/>
      <c r="K119" s="86"/>
      <c r="M119" s="11"/>
    </row>
    <row r="120" spans="7:13" s="9" customFormat="1" ht="12.75" customHeight="1">
      <c r="G120" s="10"/>
      <c r="I120" s="10"/>
      <c r="J120" s="10"/>
      <c r="K120" s="86"/>
      <c r="M120" s="11"/>
    </row>
    <row r="121" spans="7:13" s="9" customFormat="1" ht="12.75" customHeight="1">
      <c r="G121" s="10"/>
      <c r="I121" s="10"/>
      <c r="J121" s="10"/>
      <c r="K121" s="86"/>
      <c r="M121" s="11"/>
    </row>
    <row r="122" spans="7:13" s="9" customFormat="1" ht="12.75" customHeight="1">
      <c r="G122" s="10"/>
      <c r="I122" s="10"/>
      <c r="J122" s="10"/>
      <c r="K122" s="86"/>
      <c r="M122" s="11"/>
    </row>
    <row r="123" spans="7:13" s="9" customFormat="1" ht="12.75" customHeight="1">
      <c r="G123" s="10"/>
      <c r="I123" s="10"/>
      <c r="J123" s="10"/>
      <c r="K123" s="86"/>
      <c r="M123" s="11"/>
    </row>
    <row r="124" spans="7:13" s="9" customFormat="1" ht="12.75" customHeight="1">
      <c r="G124" s="10"/>
      <c r="I124" s="10"/>
      <c r="J124" s="10"/>
      <c r="K124" s="86"/>
      <c r="M124" s="11"/>
    </row>
    <row r="125" spans="7:13" s="9" customFormat="1" ht="12.75" customHeight="1">
      <c r="G125" s="10"/>
      <c r="I125" s="10"/>
      <c r="J125" s="10"/>
      <c r="K125" s="86"/>
      <c r="M125" s="11"/>
    </row>
    <row r="126" spans="7:13" s="9" customFormat="1" ht="12.75" customHeight="1">
      <c r="G126" s="10"/>
      <c r="I126" s="10"/>
      <c r="J126" s="10"/>
      <c r="K126" s="86"/>
      <c r="M126" s="11"/>
    </row>
    <row r="127" spans="7:13" s="9" customFormat="1" ht="12.75" customHeight="1">
      <c r="G127" s="10"/>
      <c r="I127" s="10"/>
      <c r="J127" s="10"/>
      <c r="K127" s="86"/>
      <c r="M127" s="11"/>
    </row>
    <row r="128" spans="7:13" s="9" customFormat="1" ht="12.75" customHeight="1">
      <c r="G128" s="10"/>
      <c r="I128" s="10"/>
      <c r="J128" s="10"/>
      <c r="K128" s="86"/>
      <c r="M128" s="11"/>
    </row>
    <row r="129" spans="7:13" s="9" customFormat="1" ht="12.75" customHeight="1">
      <c r="G129" s="10"/>
      <c r="I129" s="10"/>
      <c r="J129" s="10"/>
      <c r="K129" s="86"/>
      <c r="M129" s="11"/>
    </row>
    <row r="130" spans="7:13" s="9" customFormat="1" ht="12.75" customHeight="1">
      <c r="G130" s="10"/>
      <c r="I130" s="10"/>
      <c r="J130" s="10"/>
      <c r="K130" s="86"/>
      <c r="M130" s="11"/>
    </row>
    <row r="131" spans="7:13" s="9" customFormat="1" ht="12.75" customHeight="1">
      <c r="G131" s="10"/>
      <c r="I131" s="10"/>
      <c r="J131" s="10"/>
      <c r="K131" s="86"/>
      <c r="M131" s="11"/>
    </row>
    <row r="132" spans="7:13" s="9" customFormat="1" ht="12.75" customHeight="1">
      <c r="G132" s="10"/>
      <c r="I132" s="10"/>
      <c r="J132" s="10"/>
      <c r="K132" s="86"/>
      <c r="M132" s="11"/>
    </row>
    <row r="133" spans="7:13" s="9" customFormat="1" ht="12.75" customHeight="1">
      <c r="G133" s="10"/>
      <c r="I133" s="10"/>
      <c r="J133" s="10"/>
      <c r="K133" s="86"/>
      <c r="M133" s="11"/>
    </row>
    <row r="134" spans="7:13" s="9" customFormat="1" ht="12.75" customHeight="1">
      <c r="G134" s="10"/>
      <c r="I134" s="10"/>
      <c r="J134" s="10"/>
      <c r="K134" s="86"/>
      <c r="M134" s="11"/>
    </row>
    <row r="135" spans="7:13" s="9" customFormat="1" ht="12.75" customHeight="1">
      <c r="G135" s="10"/>
      <c r="I135" s="10"/>
      <c r="J135" s="10"/>
      <c r="K135" s="86"/>
      <c r="M135" s="11"/>
    </row>
    <row r="136" spans="7:13" s="9" customFormat="1" ht="12.75" customHeight="1">
      <c r="G136" s="10"/>
      <c r="I136" s="10"/>
      <c r="J136" s="10"/>
      <c r="K136" s="86"/>
      <c r="M136" s="11"/>
    </row>
    <row r="137" spans="7:13" s="9" customFormat="1" ht="12.75" customHeight="1">
      <c r="G137" s="10"/>
      <c r="I137" s="10"/>
      <c r="J137" s="10"/>
      <c r="K137" s="86"/>
      <c r="M137" s="11"/>
    </row>
    <row r="138" spans="7:13" s="9" customFormat="1" ht="12.75" customHeight="1">
      <c r="G138" s="10"/>
      <c r="I138" s="10"/>
      <c r="J138" s="10"/>
      <c r="K138" s="86"/>
      <c r="M138" s="11"/>
    </row>
    <row r="139" spans="7:13" s="9" customFormat="1" ht="12.75" customHeight="1">
      <c r="G139" s="10"/>
      <c r="I139" s="10"/>
      <c r="J139" s="10"/>
      <c r="K139" s="86"/>
      <c r="M139" s="11"/>
    </row>
    <row r="140" spans="7:13" s="9" customFormat="1" ht="12.75" customHeight="1">
      <c r="G140" s="10"/>
      <c r="I140" s="10"/>
      <c r="J140" s="10"/>
      <c r="K140" s="86"/>
      <c r="M140" s="11"/>
    </row>
    <row r="141" spans="7:13" s="9" customFormat="1" ht="12.75" customHeight="1">
      <c r="G141" s="10"/>
      <c r="I141" s="10"/>
      <c r="J141" s="10"/>
      <c r="K141" s="86"/>
      <c r="M141" s="11"/>
    </row>
    <row r="142" spans="7:13" s="9" customFormat="1" ht="12.75" customHeight="1">
      <c r="G142" s="10"/>
      <c r="I142" s="10"/>
      <c r="J142" s="10"/>
      <c r="K142" s="86"/>
      <c r="M142" s="11"/>
    </row>
    <row r="143" spans="7:13" s="9" customFormat="1" ht="12.75" customHeight="1">
      <c r="G143" s="10"/>
      <c r="I143" s="10"/>
      <c r="J143" s="10"/>
      <c r="K143" s="86"/>
      <c r="M143" s="11"/>
    </row>
    <row r="144" spans="7:13" s="9" customFormat="1" ht="12.75" customHeight="1">
      <c r="G144" s="10"/>
      <c r="I144" s="10"/>
      <c r="J144" s="10"/>
      <c r="K144" s="86"/>
      <c r="M144" s="11"/>
    </row>
    <row r="145" spans="7:13" s="9" customFormat="1" ht="12.75" customHeight="1">
      <c r="G145" s="10"/>
      <c r="I145" s="10"/>
      <c r="J145" s="10"/>
      <c r="K145" s="86"/>
      <c r="M145" s="11"/>
    </row>
    <row r="146" spans="7:13" s="9" customFormat="1" ht="12.75" customHeight="1">
      <c r="G146" s="10"/>
      <c r="I146" s="10"/>
      <c r="J146" s="10"/>
      <c r="K146" s="86"/>
      <c r="M146" s="11"/>
    </row>
    <row r="147" spans="7:13" s="9" customFormat="1" ht="12.75" customHeight="1">
      <c r="G147" s="10"/>
      <c r="I147" s="10"/>
      <c r="J147" s="10"/>
      <c r="K147" s="86"/>
      <c r="M147" s="11"/>
    </row>
    <row r="148" spans="7:13" s="9" customFormat="1" ht="12.75" customHeight="1">
      <c r="G148" s="10"/>
      <c r="I148" s="10"/>
      <c r="J148" s="10"/>
      <c r="K148" s="86"/>
      <c r="M148" s="11"/>
    </row>
    <row r="149" spans="7:13" s="9" customFormat="1" ht="12.75" customHeight="1">
      <c r="G149" s="10"/>
      <c r="I149" s="10"/>
      <c r="J149" s="10"/>
      <c r="K149" s="86"/>
      <c r="M149" s="11"/>
    </row>
    <row r="150" spans="7:13" s="9" customFormat="1" ht="12.75" customHeight="1">
      <c r="G150" s="10"/>
      <c r="I150" s="10"/>
      <c r="J150" s="10"/>
      <c r="K150" s="86"/>
      <c r="M150" s="11"/>
    </row>
    <row r="151" spans="7:13" s="9" customFormat="1" ht="12.75" customHeight="1">
      <c r="G151" s="10"/>
      <c r="I151" s="10"/>
      <c r="J151" s="10"/>
      <c r="K151" s="86"/>
      <c r="M151" s="11"/>
    </row>
    <row r="152" spans="7:13" s="9" customFormat="1" ht="12.75" customHeight="1">
      <c r="G152" s="10"/>
      <c r="I152" s="10"/>
      <c r="J152" s="10"/>
      <c r="K152" s="86"/>
      <c r="M152" s="11"/>
    </row>
    <row r="153" spans="7:13" s="9" customFormat="1" ht="12.75" customHeight="1">
      <c r="G153" s="10"/>
      <c r="I153" s="10"/>
      <c r="J153" s="10"/>
      <c r="K153" s="86"/>
      <c r="M153" s="11"/>
    </row>
    <row r="154" spans="7:13" s="9" customFormat="1" ht="12.75" customHeight="1">
      <c r="G154" s="10"/>
      <c r="I154" s="10"/>
      <c r="J154" s="10"/>
      <c r="K154" s="86"/>
      <c r="M154" s="11"/>
    </row>
    <row r="155" spans="7:13" s="9" customFormat="1" ht="12.75" customHeight="1">
      <c r="G155" s="10"/>
      <c r="I155" s="10"/>
      <c r="J155" s="10"/>
      <c r="K155" s="86"/>
      <c r="M155" s="11"/>
    </row>
    <row r="156" spans="7:13" s="9" customFormat="1" ht="12.75" customHeight="1">
      <c r="G156" s="10"/>
      <c r="I156" s="10"/>
      <c r="J156" s="10"/>
      <c r="K156" s="86"/>
      <c r="M156" s="11"/>
    </row>
    <row r="157" spans="7:13" s="9" customFormat="1" ht="12.75" customHeight="1">
      <c r="G157" s="10"/>
      <c r="I157" s="10"/>
      <c r="J157" s="10"/>
      <c r="K157" s="86"/>
      <c r="M157" s="11"/>
    </row>
    <row r="158" spans="7:13" s="9" customFormat="1" ht="12.75" customHeight="1">
      <c r="G158" s="10"/>
      <c r="I158" s="10"/>
      <c r="J158" s="10"/>
      <c r="K158" s="86"/>
      <c r="M158" s="11"/>
    </row>
    <row r="159" spans="7:13" s="9" customFormat="1" ht="12.75" customHeight="1">
      <c r="G159" s="10"/>
      <c r="I159" s="10"/>
      <c r="J159" s="10"/>
      <c r="K159" s="86"/>
      <c r="M159" s="11"/>
    </row>
    <row r="160" spans="7:13" s="9" customFormat="1" ht="12.75" customHeight="1">
      <c r="G160" s="10"/>
      <c r="I160" s="10"/>
      <c r="J160" s="10"/>
      <c r="K160" s="86"/>
      <c r="M160" s="11"/>
    </row>
    <row r="161" spans="7:13" s="9" customFormat="1" ht="12.75" customHeight="1">
      <c r="G161" s="10"/>
      <c r="I161" s="10"/>
      <c r="J161" s="10"/>
      <c r="K161" s="86"/>
      <c r="M161" s="11"/>
    </row>
    <row r="162" spans="7:13" s="9" customFormat="1" ht="12.75" customHeight="1">
      <c r="G162" s="10"/>
      <c r="I162" s="10"/>
      <c r="J162" s="10"/>
      <c r="K162" s="86"/>
      <c r="M162" s="11"/>
    </row>
    <row r="163" spans="7:13" s="9" customFormat="1" ht="12.75" customHeight="1">
      <c r="G163" s="10"/>
      <c r="I163" s="10"/>
      <c r="J163" s="10"/>
      <c r="K163" s="86"/>
      <c r="M163" s="11"/>
    </row>
    <row r="164" spans="7:13" s="9" customFormat="1" ht="12.75" customHeight="1">
      <c r="G164" s="10"/>
      <c r="I164" s="10"/>
      <c r="J164" s="10"/>
      <c r="K164" s="86"/>
      <c r="M164" s="11"/>
    </row>
    <row r="165" spans="7:13" s="9" customFormat="1" ht="12.75" customHeight="1">
      <c r="G165" s="10"/>
      <c r="I165" s="10"/>
      <c r="J165" s="10"/>
      <c r="K165" s="86"/>
      <c r="M165" s="11"/>
    </row>
    <row r="166" spans="7:13" s="9" customFormat="1" ht="12.75" customHeight="1">
      <c r="G166" s="10"/>
      <c r="I166" s="10"/>
      <c r="J166" s="10"/>
      <c r="K166" s="86"/>
      <c r="M166" s="11"/>
    </row>
    <row r="167" spans="7:13" s="9" customFormat="1" ht="12.75" customHeight="1">
      <c r="G167" s="10"/>
      <c r="I167" s="10"/>
      <c r="J167" s="10"/>
      <c r="K167" s="86"/>
      <c r="M167" s="11"/>
    </row>
    <row r="168" spans="7:13" s="9" customFormat="1" ht="12.75" customHeight="1">
      <c r="G168" s="10"/>
      <c r="I168" s="10"/>
      <c r="J168" s="10"/>
      <c r="K168" s="86"/>
      <c r="M168" s="11"/>
    </row>
    <row r="169" spans="7:13" s="9" customFormat="1" ht="12.75" customHeight="1">
      <c r="G169" s="10"/>
      <c r="I169" s="10"/>
      <c r="J169" s="10"/>
      <c r="K169" s="86"/>
      <c r="M169" s="11"/>
    </row>
    <row r="170" spans="7:13" s="9" customFormat="1" ht="12.75" customHeight="1">
      <c r="G170" s="10"/>
      <c r="I170" s="10"/>
      <c r="J170" s="10"/>
      <c r="K170" s="86"/>
      <c r="M170" s="11"/>
    </row>
    <row r="171" spans="7:13" s="9" customFormat="1" ht="12.75" customHeight="1">
      <c r="G171" s="10"/>
      <c r="I171" s="10"/>
      <c r="J171" s="10"/>
      <c r="K171" s="86"/>
      <c r="M171" s="11"/>
    </row>
    <row r="172" spans="7:13" s="9" customFormat="1" ht="12.75" customHeight="1">
      <c r="G172" s="10"/>
      <c r="I172" s="10"/>
      <c r="J172" s="10"/>
      <c r="K172" s="86"/>
      <c r="M172" s="11"/>
    </row>
    <row r="173" spans="7:13" s="9" customFormat="1" ht="12.75" customHeight="1">
      <c r="G173" s="10"/>
      <c r="I173" s="10"/>
      <c r="J173" s="10"/>
      <c r="K173" s="86"/>
      <c r="M173" s="11"/>
    </row>
    <row r="174" spans="7:13" s="9" customFormat="1" ht="12.75" customHeight="1">
      <c r="G174" s="10"/>
      <c r="I174" s="10"/>
      <c r="J174" s="10"/>
      <c r="K174" s="86"/>
      <c r="M174" s="11"/>
    </row>
    <row r="175" spans="7:13" s="9" customFormat="1" ht="12.75" customHeight="1">
      <c r="G175" s="10"/>
      <c r="I175" s="10"/>
      <c r="J175" s="10"/>
      <c r="K175" s="86"/>
      <c r="M175" s="11"/>
    </row>
    <row r="176" spans="7:13" s="9" customFormat="1" ht="12.75" customHeight="1">
      <c r="G176" s="10"/>
      <c r="I176" s="10"/>
      <c r="J176" s="10"/>
      <c r="K176" s="86"/>
      <c r="M176" s="11"/>
    </row>
    <row r="177" spans="7:13" s="9" customFormat="1" ht="12.75" customHeight="1">
      <c r="G177" s="10"/>
      <c r="I177" s="10"/>
      <c r="J177" s="10"/>
      <c r="K177" s="86"/>
      <c r="M177" s="11"/>
    </row>
    <row r="178" spans="7:13" s="9" customFormat="1" ht="12.75" customHeight="1">
      <c r="G178" s="10"/>
      <c r="I178" s="10"/>
      <c r="J178" s="10"/>
      <c r="K178" s="86"/>
      <c r="M178" s="11"/>
    </row>
    <row r="179" spans="7:13" s="9" customFormat="1" ht="12.75" customHeight="1">
      <c r="G179" s="10"/>
      <c r="I179" s="10"/>
      <c r="J179" s="10"/>
      <c r="K179" s="86"/>
      <c r="M179" s="11"/>
    </row>
    <row r="180" spans="7:13" s="9" customFormat="1" ht="12.75" customHeight="1">
      <c r="G180" s="10"/>
      <c r="I180" s="10"/>
      <c r="J180" s="10"/>
      <c r="K180" s="86"/>
      <c r="M180" s="11"/>
    </row>
    <row r="181" spans="7:13" s="9" customFormat="1" ht="12.75" customHeight="1">
      <c r="G181" s="10"/>
      <c r="I181" s="10"/>
      <c r="J181" s="10"/>
      <c r="K181" s="86"/>
      <c r="M181" s="11"/>
    </row>
    <row r="182" spans="7:13" s="9" customFormat="1" ht="12.75" customHeight="1">
      <c r="G182" s="10"/>
      <c r="I182" s="10"/>
      <c r="J182" s="10"/>
      <c r="K182" s="86"/>
      <c r="M182" s="11"/>
    </row>
    <row r="183" spans="7:13" s="9" customFormat="1" ht="12.75" customHeight="1">
      <c r="G183" s="10"/>
      <c r="I183" s="10"/>
      <c r="J183" s="10"/>
      <c r="K183" s="86"/>
      <c r="M183" s="11"/>
    </row>
    <row r="184" spans="7:13" s="9" customFormat="1" ht="12.75" customHeight="1">
      <c r="G184" s="10"/>
      <c r="I184" s="10"/>
      <c r="J184" s="10"/>
      <c r="K184" s="86"/>
      <c r="M184" s="11"/>
    </row>
    <row r="185" spans="7:13" s="9" customFormat="1" ht="12.75" customHeight="1">
      <c r="G185" s="10"/>
      <c r="I185" s="10"/>
      <c r="J185" s="10"/>
      <c r="K185" s="86"/>
      <c r="M185" s="11"/>
    </row>
    <row r="186" spans="7:13" s="9" customFormat="1" ht="12.75" customHeight="1">
      <c r="G186" s="10"/>
      <c r="I186" s="10"/>
      <c r="J186" s="10"/>
      <c r="K186" s="86"/>
      <c r="M186" s="11"/>
    </row>
    <row r="187" spans="7:13" s="9" customFormat="1" ht="12.75" customHeight="1">
      <c r="G187" s="10"/>
      <c r="I187" s="10"/>
      <c r="J187" s="10"/>
      <c r="K187" s="86"/>
      <c r="M187" s="11"/>
    </row>
    <row r="188" spans="7:13" s="9" customFormat="1" ht="12.75" customHeight="1">
      <c r="G188" s="10"/>
      <c r="I188" s="10"/>
      <c r="J188" s="10"/>
      <c r="K188" s="86"/>
      <c r="M188" s="11"/>
    </row>
    <row r="189" spans="7:13" s="9" customFormat="1" ht="12.75" customHeight="1">
      <c r="G189" s="10"/>
      <c r="I189" s="10"/>
      <c r="J189" s="10"/>
      <c r="K189" s="86"/>
      <c r="M189" s="11"/>
    </row>
    <row r="190" spans="7:13" s="9" customFormat="1" ht="12.75" customHeight="1">
      <c r="G190" s="10"/>
      <c r="I190" s="10"/>
      <c r="J190" s="10"/>
      <c r="K190" s="86"/>
      <c r="M190" s="11"/>
    </row>
    <row r="191" spans="7:13" s="9" customFormat="1" ht="12.75" customHeight="1">
      <c r="G191" s="10"/>
      <c r="I191" s="10"/>
      <c r="J191" s="10"/>
      <c r="K191" s="86"/>
      <c r="M191" s="11"/>
    </row>
    <row r="192" spans="7:13" s="9" customFormat="1" ht="12.75" customHeight="1">
      <c r="G192" s="10"/>
      <c r="I192" s="10"/>
      <c r="J192" s="10"/>
      <c r="K192" s="86"/>
      <c r="M192" s="11"/>
    </row>
    <row r="193" spans="7:13" s="9" customFormat="1" ht="12.75" customHeight="1">
      <c r="G193" s="10"/>
      <c r="I193" s="10"/>
      <c r="J193" s="10"/>
      <c r="K193" s="86"/>
      <c r="M193" s="11"/>
    </row>
    <row r="194" spans="7:13" s="9" customFormat="1" ht="12.75" customHeight="1">
      <c r="G194" s="10"/>
      <c r="I194" s="10"/>
      <c r="J194" s="10"/>
      <c r="K194" s="86"/>
      <c r="M194" s="11"/>
    </row>
    <row r="195" spans="7:13" s="9" customFormat="1" ht="12.75" customHeight="1">
      <c r="G195" s="10"/>
      <c r="I195" s="10"/>
      <c r="J195" s="10"/>
      <c r="K195" s="86"/>
      <c r="M195" s="11"/>
    </row>
    <row r="196" spans="7:13" s="9" customFormat="1" ht="12.75" customHeight="1">
      <c r="G196" s="10"/>
      <c r="I196" s="10"/>
      <c r="J196" s="10"/>
      <c r="K196" s="86"/>
      <c r="M196" s="11"/>
    </row>
    <row r="197" spans="7:13" s="9" customFormat="1" ht="12.75" customHeight="1">
      <c r="G197" s="10"/>
      <c r="I197" s="10"/>
      <c r="J197" s="10"/>
      <c r="K197" s="86"/>
      <c r="M197" s="11"/>
    </row>
    <row r="198" spans="7:13" s="9" customFormat="1" ht="12.75" customHeight="1">
      <c r="G198" s="10"/>
      <c r="I198" s="10"/>
      <c r="J198" s="10"/>
      <c r="K198" s="86"/>
      <c r="M198" s="11"/>
    </row>
    <row r="199" spans="7:13" s="9" customFormat="1" ht="12.75" customHeight="1">
      <c r="G199" s="10"/>
      <c r="I199" s="10"/>
      <c r="J199" s="10"/>
      <c r="K199" s="86"/>
      <c r="M199" s="11"/>
    </row>
    <row r="200" spans="7:13" s="9" customFormat="1" ht="12.75" customHeight="1">
      <c r="G200" s="10"/>
      <c r="I200" s="10"/>
      <c r="J200" s="10"/>
      <c r="K200" s="86"/>
      <c r="M200" s="11"/>
    </row>
    <row r="201" spans="7:13" s="9" customFormat="1" ht="12.75" customHeight="1">
      <c r="G201" s="10"/>
      <c r="I201" s="10"/>
      <c r="J201" s="10"/>
      <c r="K201" s="86"/>
      <c r="M201" s="11"/>
    </row>
    <row r="202" spans="7:13" s="9" customFormat="1" ht="12.75" customHeight="1">
      <c r="G202" s="10"/>
      <c r="I202" s="10"/>
      <c r="J202" s="10"/>
      <c r="K202" s="86"/>
      <c r="M202" s="11"/>
    </row>
    <row r="203" spans="7:13" s="9" customFormat="1" ht="12.75" customHeight="1">
      <c r="G203" s="10"/>
      <c r="I203" s="10"/>
      <c r="J203" s="10"/>
      <c r="K203" s="86"/>
      <c r="M203" s="11"/>
    </row>
    <row r="204" spans="7:13" s="9" customFormat="1" ht="12.75" customHeight="1">
      <c r="G204" s="10"/>
      <c r="I204" s="10"/>
      <c r="J204" s="10"/>
      <c r="K204" s="86"/>
      <c r="M204" s="11"/>
    </row>
    <row r="205" spans="7:13" s="9" customFormat="1" ht="12.75" customHeight="1">
      <c r="G205" s="10"/>
      <c r="I205" s="10"/>
      <c r="J205" s="10"/>
      <c r="K205" s="86"/>
      <c r="M205" s="11"/>
    </row>
    <row r="206" spans="7:13" s="9" customFormat="1" ht="12.75" customHeight="1">
      <c r="G206" s="10"/>
      <c r="I206" s="10"/>
      <c r="J206" s="10"/>
      <c r="K206" s="86"/>
      <c r="M206" s="11"/>
    </row>
    <row r="207" spans="7:13" s="9" customFormat="1" ht="12.75" customHeight="1">
      <c r="G207" s="10"/>
      <c r="I207" s="10"/>
      <c r="J207" s="10"/>
      <c r="K207" s="86"/>
      <c r="M207" s="11"/>
    </row>
    <row r="208" spans="7:13" s="9" customFormat="1" ht="12.75" customHeight="1">
      <c r="G208" s="10"/>
      <c r="I208" s="10"/>
      <c r="J208" s="10"/>
      <c r="K208" s="86"/>
      <c r="M208" s="11"/>
    </row>
    <row r="209" spans="7:13" s="9" customFormat="1" ht="12.75" customHeight="1">
      <c r="G209" s="10"/>
      <c r="I209" s="10"/>
      <c r="J209" s="10"/>
      <c r="K209" s="86"/>
      <c r="M209" s="11"/>
    </row>
    <row r="210" spans="7:13" s="9" customFormat="1" ht="12.75" customHeight="1">
      <c r="G210" s="10"/>
      <c r="I210" s="10"/>
      <c r="J210" s="10"/>
      <c r="K210" s="86"/>
      <c r="M210" s="11"/>
    </row>
    <row r="211" spans="7:13" s="9" customFormat="1" ht="12.75" customHeight="1">
      <c r="G211" s="10"/>
      <c r="I211" s="10"/>
      <c r="J211" s="10"/>
      <c r="K211" s="86"/>
      <c r="M211" s="11"/>
    </row>
    <row r="212" spans="7:13" s="9" customFormat="1" ht="12.75" customHeight="1">
      <c r="G212" s="10"/>
      <c r="I212" s="10"/>
      <c r="J212" s="10"/>
      <c r="K212" s="86"/>
      <c r="M212" s="11"/>
    </row>
    <row r="213" spans="7:13" s="9" customFormat="1" ht="12.75" customHeight="1">
      <c r="G213" s="10"/>
      <c r="I213" s="10"/>
      <c r="J213" s="10"/>
      <c r="K213" s="86"/>
      <c r="M213" s="11"/>
    </row>
    <row r="214" spans="7:13" s="9" customFormat="1" ht="12.75" customHeight="1">
      <c r="G214" s="10"/>
      <c r="I214" s="10"/>
      <c r="J214" s="10"/>
      <c r="K214" s="86"/>
      <c r="M214" s="11"/>
    </row>
    <row r="215" spans="7:13" s="9" customFormat="1" ht="12.75" customHeight="1">
      <c r="G215" s="10"/>
      <c r="I215" s="10"/>
      <c r="J215" s="10"/>
      <c r="K215" s="86"/>
      <c r="M215" s="11"/>
    </row>
    <row r="216" spans="7:13" s="9" customFormat="1" ht="12.75" customHeight="1">
      <c r="G216" s="10"/>
      <c r="I216" s="10"/>
      <c r="J216" s="10"/>
      <c r="K216" s="86"/>
      <c r="M216" s="11"/>
    </row>
    <row r="217" spans="7:13" s="9" customFormat="1" ht="12.75" customHeight="1">
      <c r="G217" s="10"/>
      <c r="I217" s="10"/>
      <c r="J217" s="10"/>
      <c r="K217" s="86"/>
      <c r="M217" s="11"/>
    </row>
    <row r="218" spans="7:13" s="9" customFormat="1" ht="12.75" customHeight="1">
      <c r="G218" s="10"/>
      <c r="I218" s="10"/>
      <c r="J218" s="10"/>
      <c r="K218" s="86"/>
      <c r="M218" s="11"/>
    </row>
    <row r="219" spans="7:13" s="9" customFormat="1" ht="12.75" customHeight="1">
      <c r="G219" s="10"/>
      <c r="I219" s="10"/>
      <c r="J219" s="10"/>
      <c r="K219" s="86"/>
      <c r="M219" s="11"/>
    </row>
    <row r="220" spans="7:13" s="9" customFormat="1" ht="12.75" customHeight="1">
      <c r="G220" s="10"/>
      <c r="I220" s="10"/>
      <c r="J220" s="10"/>
      <c r="K220" s="86"/>
      <c r="M220" s="11"/>
    </row>
    <row r="221" spans="7:13" s="9" customFormat="1" ht="12.75" customHeight="1">
      <c r="G221" s="10"/>
      <c r="I221" s="10"/>
      <c r="J221" s="10"/>
      <c r="K221" s="86"/>
      <c r="M221" s="11"/>
    </row>
    <row r="222" spans="7:13" s="9" customFormat="1" ht="12.75" customHeight="1">
      <c r="G222" s="10"/>
      <c r="I222" s="10"/>
      <c r="J222" s="10"/>
      <c r="K222" s="86"/>
      <c r="M222" s="11"/>
    </row>
    <row r="223" spans="7:13" s="9" customFormat="1" ht="12.75" customHeight="1">
      <c r="G223" s="10"/>
      <c r="I223" s="10"/>
      <c r="J223" s="10"/>
      <c r="K223" s="86"/>
      <c r="M223" s="11"/>
    </row>
    <row r="224" spans="7:13" s="9" customFormat="1" ht="12.75" customHeight="1">
      <c r="G224" s="10"/>
      <c r="I224" s="10"/>
      <c r="J224" s="10"/>
      <c r="K224" s="86"/>
      <c r="M224" s="11"/>
    </row>
    <row r="225" spans="7:13" s="9" customFormat="1" ht="12.75" customHeight="1">
      <c r="G225" s="10"/>
      <c r="I225" s="10"/>
      <c r="J225" s="10"/>
      <c r="K225" s="86"/>
      <c r="M225" s="11"/>
    </row>
    <row r="226" spans="7:13" s="9" customFormat="1" ht="12.75" customHeight="1">
      <c r="G226" s="10"/>
      <c r="I226" s="10"/>
      <c r="J226" s="10"/>
      <c r="K226" s="86"/>
      <c r="M226" s="11"/>
    </row>
    <row r="227" spans="7:13" s="9" customFormat="1" ht="12.75" customHeight="1">
      <c r="G227" s="10"/>
      <c r="I227" s="10"/>
      <c r="J227" s="10"/>
      <c r="K227" s="86"/>
      <c r="M227" s="11"/>
    </row>
    <row r="228" spans="7:13" s="9" customFormat="1" ht="12.75" customHeight="1">
      <c r="G228" s="10"/>
      <c r="I228" s="10"/>
      <c r="J228" s="10"/>
      <c r="K228" s="86"/>
      <c r="M228" s="11"/>
    </row>
    <row r="229" spans="7:13" s="9" customFormat="1" ht="12.75" customHeight="1">
      <c r="G229" s="10"/>
      <c r="I229" s="10"/>
      <c r="J229" s="10"/>
      <c r="K229" s="86"/>
      <c r="M229" s="11"/>
    </row>
    <row r="230" spans="7:13" s="9" customFormat="1" ht="12.75" customHeight="1">
      <c r="G230" s="10"/>
      <c r="I230" s="10"/>
      <c r="J230" s="10"/>
      <c r="K230" s="86"/>
      <c r="M230" s="11"/>
    </row>
    <row r="231" spans="7:13" s="9" customFormat="1" ht="12.75" customHeight="1">
      <c r="G231" s="10"/>
      <c r="I231" s="10"/>
      <c r="J231" s="10"/>
      <c r="K231" s="86"/>
      <c r="M231" s="11"/>
    </row>
    <row r="232" spans="7:13" s="9" customFormat="1" ht="12.75" customHeight="1">
      <c r="G232" s="10"/>
      <c r="I232" s="10"/>
      <c r="J232" s="10"/>
      <c r="K232" s="86"/>
      <c r="M232" s="11"/>
    </row>
    <row r="233" spans="7:13" s="9" customFormat="1" ht="12.75" customHeight="1">
      <c r="G233" s="10"/>
      <c r="I233" s="10"/>
      <c r="J233" s="10"/>
      <c r="K233" s="86"/>
      <c r="M233" s="11"/>
    </row>
    <row r="234" spans="7:13" s="9" customFormat="1" ht="12.75" customHeight="1">
      <c r="G234" s="10"/>
      <c r="I234" s="10"/>
      <c r="J234" s="10"/>
      <c r="K234" s="86"/>
      <c r="M234" s="11"/>
    </row>
    <row r="235" spans="7:13" s="9" customFormat="1" ht="12.75" customHeight="1">
      <c r="G235" s="10"/>
      <c r="I235" s="10"/>
      <c r="J235" s="10"/>
      <c r="K235" s="86"/>
      <c r="M235" s="11"/>
    </row>
    <row r="236" spans="7:13" s="9" customFormat="1" ht="12.75" customHeight="1">
      <c r="G236" s="10"/>
      <c r="I236" s="10"/>
      <c r="J236" s="10"/>
      <c r="K236" s="86"/>
      <c r="M236" s="11"/>
    </row>
    <row r="237" spans="7:13" s="9" customFormat="1" ht="12.75" customHeight="1">
      <c r="G237" s="10"/>
      <c r="I237" s="10"/>
      <c r="J237" s="10"/>
      <c r="K237" s="86"/>
      <c r="M237" s="11"/>
    </row>
    <row r="238" spans="7:13" s="9" customFormat="1" ht="12.75" customHeight="1">
      <c r="G238" s="10"/>
      <c r="I238" s="10"/>
      <c r="J238" s="10"/>
      <c r="K238" s="86"/>
      <c r="M238" s="11"/>
    </row>
    <row r="239" spans="7:13" s="9" customFormat="1" ht="12.75" customHeight="1">
      <c r="G239" s="10"/>
      <c r="I239" s="10"/>
      <c r="J239" s="10"/>
      <c r="K239" s="86"/>
      <c r="M239" s="11"/>
    </row>
    <row r="240" spans="7:13" s="9" customFormat="1" ht="12.75" customHeight="1">
      <c r="G240" s="10"/>
      <c r="I240" s="10"/>
      <c r="J240" s="10"/>
      <c r="K240" s="86"/>
      <c r="M240" s="11"/>
    </row>
    <row r="241" spans="7:13" s="9" customFormat="1" ht="12.75" customHeight="1">
      <c r="G241" s="10"/>
      <c r="I241" s="10"/>
      <c r="J241" s="10"/>
      <c r="K241" s="86"/>
      <c r="M241" s="11"/>
    </row>
    <row r="242" spans="7:13" s="9" customFormat="1" ht="12.75" customHeight="1">
      <c r="G242" s="10"/>
      <c r="I242" s="10"/>
      <c r="J242" s="10"/>
      <c r="K242" s="86"/>
      <c r="M242" s="11"/>
    </row>
    <row r="243" spans="7:13" s="9" customFormat="1" ht="12.75" customHeight="1">
      <c r="G243" s="10"/>
      <c r="I243" s="10"/>
      <c r="J243" s="10"/>
      <c r="K243" s="86"/>
      <c r="M243" s="11"/>
    </row>
    <row r="244" spans="7:13" s="9" customFormat="1" ht="12.75" customHeight="1">
      <c r="G244" s="10"/>
      <c r="I244" s="10"/>
      <c r="J244" s="10"/>
      <c r="K244" s="86"/>
      <c r="M244" s="11"/>
    </row>
    <row r="245" spans="7:13" s="9" customFormat="1" ht="12.75" customHeight="1">
      <c r="G245" s="10"/>
      <c r="I245" s="10"/>
      <c r="J245" s="10"/>
      <c r="K245" s="86"/>
      <c r="M245" s="11"/>
    </row>
    <row r="246" spans="7:13" s="9" customFormat="1" ht="12.75" customHeight="1">
      <c r="G246" s="10"/>
      <c r="I246" s="10"/>
      <c r="J246" s="10"/>
      <c r="K246" s="86"/>
      <c r="M246" s="11"/>
    </row>
    <row r="247" spans="7:13" s="9" customFormat="1" ht="12.75" customHeight="1">
      <c r="G247" s="10"/>
      <c r="I247" s="10"/>
      <c r="J247" s="10"/>
      <c r="K247" s="86"/>
      <c r="M247" s="11"/>
    </row>
    <row r="248" spans="7:13" s="9" customFormat="1" ht="12.75" customHeight="1">
      <c r="G248" s="10"/>
      <c r="I248" s="10"/>
      <c r="J248" s="10"/>
      <c r="K248" s="86"/>
      <c r="M248" s="11"/>
    </row>
    <row r="249" spans="7:13" s="9" customFormat="1" ht="12.75" customHeight="1">
      <c r="G249" s="10"/>
      <c r="I249" s="10"/>
      <c r="J249" s="10"/>
      <c r="K249" s="86"/>
      <c r="M249" s="11"/>
    </row>
    <row r="250" spans="7:13" s="9" customFormat="1" ht="12.75" customHeight="1">
      <c r="G250" s="10"/>
      <c r="I250" s="10"/>
      <c r="J250" s="10"/>
      <c r="K250" s="86"/>
      <c r="M250" s="11"/>
    </row>
    <row r="251" spans="7:13" s="9" customFormat="1" ht="12.75" customHeight="1">
      <c r="G251" s="10"/>
      <c r="I251" s="10"/>
      <c r="J251" s="10"/>
      <c r="K251" s="86"/>
      <c r="M251" s="11"/>
    </row>
    <row r="252" spans="7:13" s="9" customFormat="1" ht="12.75" customHeight="1">
      <c r="G252" s="10"/>
      <c r="I252" s="10"/>
      <c r="J252" s="10"/>
      <c r="K252" s="86"/>
      <c r="M252" s="11"/>
    </row>
    <row r="253" spans="7:13" s="9" customFormat="1" ht="12.75" customHeight="1">
      <c r="G253" s="10"/>
      <c r="I253" s="10"/>
      <c r="J253" s="10"/>
      <c r="K253" s="86"/>
      <c r="M253" s="11"/>
    </row>
    <row r="254" spans="7:13" s="9" customFormat="1" ht="12.75" customHeight="1">
      <c r="G254" s="10"/>
      <c r="I254" s="10"/>
      <c r="J254" s="10"/>
      <c r="K254" s="86"/>
      <c r="M254" s="11"/>
    </row>
    <row r="255" spans="7:13" s="9" customFormat="1" ht="12.75" customHeight="1">
      <c r="G255" s="10"/>
      <c r="I255" s="10"/>
      <c r="J255" s="10"/>
      <c r="K255" s="86"/>
      <c r="M255" s="11"/>
    </row>
    <row r="256" spans="7:13" s="9" customFormat="1" ht="12.75" customHeight="1">
      <c r="G256" s="10"/>
      <c r="I256" s="10"/>
      <c r="J256" s="10"/>
      <c r="K256" s="86"/>
      <c r="M256" s="11"/>
    </row>
    <row r="257" spans="7:13" s="9" customFormat="1" ht="12.75" customHeight="1">
      <c r="G257" s="10"/>
      <c r="I257" s="10"/>
      <c r="J257" s="10"/>
      <c r="K257" s="86"/>
      <c r="M257" s="11"/>
    </row>
    <row r="258" spans="7:13" s="9" customFormat="1" ht="12.75" customHeight="1">
      <c r="G258" s="10"/>
      <c r="I258" s="10"/>
      <c r="J258" s="10"/>
      <c r="K258" s="86"/>
      <c r="M258" s="11"/>
    </row>
    <row r="259" spans="7:13" s="9" customFormat="1" ht="12.75" customHeight="1">
      <c r="G259" s="10"/>
      <c r="I259" s="10"/>
      <c r="J259" s="10"/>
      <c r="K259" s="86"/>
      <c r="M259" s="11"/>
    </row>
    <row r="260" spans="7:13" s="9" customFormat="1" ht="12.75" customHeight="1">
      <c r="G260" s="10"/>
      <c r="I260" s="10"/>
      <c r="J260" s="10"/>
      <c r="K260" s="86"/>
      <c r="M260" s="11"/>
    </row>
    <row r="261" spans="7:13" s="9" customFormat="1" ht="12.75" customHeight="1">
      <c r="G261" s="10"/>
      <c r="I261" s="10"/>
      <c r="J261" s="10"/>
      <c r="K261" s="86"/>
      <c r="M261" s="11"/>
    </row>
    <row r="262" spans="7:13" s="9" customFormat="1" ht="12.75" customHeight="1">
      <c r="G262" s="10"/>
      <c r="I262" s="10"/>
      <c r="J262" s="10"/>
      <c r="K262" s="86"/>
      <c r="M262" s="11"/>
    </row>
    <row r="263" spans="7:13" s="9" customFormat="1" ht="12.75" customHeight="1">
      <c r="G263" s="10"/>
      <c r="I263" s="10"/>
      <c r="J263" s="10"/>
      <c r="K263" s="86"/>
      <c r="M263" s="11"/>
    </row>
    <row r="264" spans="7:13" s="9" customFormat="1" ht="12.75" customHeight="1">
      <c r="G264" s="10"/>
      <c r="I264" s="10"/>
      <c r="J264" s="10"/>
      <c r="K264" s="86"/>
      <c r="M264" s="11"/>
    </row>
    <row r="265" spans="7:13" s="9" customFormat="1" ht="12.75" customHeight="1">
      <c r="G265" s="10"/>
      <c r="I265" s="10"/>
      <c r="J265" s="10"/>
      <c r="K265" s="86"/>
      <c r="M265" s="11"/>
    </row>
    <row r="266" spans="7:13" s="9" customFormat="1" ht="12.75" customHeight="1">
      <c r="G266" s="10"/>
      <c r="I266" s="10"/>
      <c r="J266" s="10"/>
      <c r="K266" s="86"/>
      <c r="M266" s="11"/>
    </row>
    <row r="267" spans="7:13" s="9" customFormat="1" ht="12.75" customHeight="1">
      <c r="G267" s="10"/>
      <c r="I267" s="10"/>
      <c r="J267" s="10"/>
      <c r="K267" s="86"/>
      <c r="M267" s="11"/>
    </row>
    <row r="268" spans="7:13" s="9" customFormat="1" ht="12.75" customHeight="1">
      <c r="G268" s="10"/>
      <c r="I268" s="10"/>
      <c r="J268" s="10"/>
      <c r="K268" s="86"/>
      <c r="M268" s="11"/>
    </row>
    <row r="269" spans="7:13" s="9" customFormat="1" ht="12.75" customHeight="1">
      <c r="G269" s="10"/>
      <c r="I269" s="10"/>
      <c r="J269" s="10"/>
      <c r="K269" s="86"/>
      <c r="M269" s="11"/>
    </row>
    <row r="270" spans="7:13" s="9" customFormat="1" ht="12.75" customHeight="1">
      <c r="G270" s="10"/>
      <c r="I270" s="10"/>
      <c r="J270" s="10"/>
      <c r="K270" s="86"/>
      <c r="M270" s="11"/>
    </row>
    <row r="271" spans="7:13" s="9" customFormat="1" ht="12.75" customHeight="1">
      <c r="G271" s="10"/>
      <c r="I271" s="10"/>
      <c r="J271" s="10"/>
      <c r="K271" s="86"/>
      <c r="M271" s="11"/>
    </row>
    <row r="272" spans="7:13" s="9" customFormat="1" ht="12.75" customHeight="1">
      <c r="G272" s="10"/>
      <c r="I272" s="10"/>
      <c r="J272" s="10"/>
      <c r="K272" s="86"/>
      <c r="M272" s="11"/>
    </row>
    <row r="273" spans="7:13" s="9" customFormat="1" ht="12.75" customHeight="1">
      <c r="G273" s="10"/>
      <c r="I273" s="10"/>
      <c r="J273" s="10"/>
      <c r="K273" s="86"/>
      <c r="M273" s="11"/>
    </row>
    <row r="274" spans="7:13" s="9" customFormat="1" ht="12.75" customHeight="1">
      <c r="G274" s="10"/>
      <c r="I274" s="10"/>
      <c r="J274" s="10"/>
      <c r="K274" s="86"/>
      <c r="M274" s="11"/>
    </row>
    <row r="275" spans="7:13" s="9" customFormat="1" ht="12.75" customHeight="1">
      <c r="G275" s="10"/>
      <c r="I275" s="10"/>
      <c r="J275" s="10"/>
      <c r="K275" s="86"/>
      <c r="M275" s="11"/>
    </row>
    <row r="276" spans="7:13" s="9" customFormat="1" ht="12.75" customHeight="1">
      <c r="G276" s="10"/>
      <c r="I276" s="10"/>
      <c r="J276" s="10"/>
      <c r="K276" s="86"/>
      <c r="M276" s="11"/>
    </row>
    <row r="277" spans="7:13" s="9" customFormat="1" ht="12.75" customHeight="1">
      <c r="G277" s="10"/>
      <c r="I277" s="10"/>
      <c r="J277" s="10"/>
      <c r="K277" s="86"/>
      <c r="M277" s="11"/>
    </row>
    <row r="278" spans="7:13" s="9" customFormat="1" ht="12.75" customHeight="1">
      <c r="G278" s="10"/>
      <c r="I278" s="10"/>
      <c r="J278" s="10"/>
      <c r="K278" s="86"/>
      <c r="M278" s="11"/>
    </row>
    <row r="279" spans="7:13" s="9" customFormat="1" ht="12.75" customHeight="1">
      <c r="G279" s="10"/>
      <c r="I279" s="10"/>
      <c r="J279" s="10"/>
      <c r="K279" s="86"/>
      <c r="M279" s="11"/>
    </row>
    <row r="280" spans="7:13" s="9" customFormat="1" ht="12.75" customHeight="1">
      <c r="G280" s="10"/>
      <c r="I280" s="10"/>
      <c r="J280" s="10"/>
      <c r="K280" s="86"/>
      <c r="M280" s="11"/>
    </row>
    <row r="281" spans="7:13" s="9" customFormat="1" ht="12.75" customHeight="1">
      <c r="G281" s="10"/>
      <c r="I281" s="10"/>
      <c r="J281" s="10"/>
      <c r="K281" s="86"/>
      <c r="M281" s="11"/>
    </row>
    <row r="282" spans="7:13" s="9" customFormat="1" ht="12.75" customHeight="1">
      <c r="G282" s="10"/>
      <c r="I282" s="10"/>
      <c r="J282" s="10"/>
      <c r="K282" s="86"/>
      <c r="M282" s="11"/>
    </row>
    <row r="283" spans="7:13" s="9" customFormat="1" ht="12.75" customHeight="1">
      <c r="G283" s="10"/>
      <c r="I283" s="10"/>
      <c r="J283" s="10"/>
      <c r="K283" s="86"/>
      <c r="M283" s="11"/>
    </row>
    <row r="284" spans="7:13" s="9" customFormat="1" ht="12.75" customHeight="1">
      <c r="G284" s="10"/>
      <c r="I284" s="10"/>
      <c r="J284" s="10"/>
      <c r="K284" s="86"/>
      <c r="M284" s="11"/>
    </row>
    <row r="285" spans="7:13" s="9" customFormat="1" ht="12.75" customHeight="1">
      <c r="G285" s="10"/>
      <c r="I285" s="10"/>
      <c r="J285" s="10"/>
      <c r="K285" s="86"/>
      <c r="M285" s="11"/>
    </row>
    <row r="286" spans="7:13" s="9" customFormat="1" ht="12.75" customHeight="1">
      <c r="G286" s="10"/>
      <c r="I286" s="10"/>
      <c r="J286" s="10"/>
      <c r="K286" s="86"/>
      <c r="M286" s="11"/>
    </row>
    <row r="287" spans="7:13" s="9" customFormat="1" ht="12.75" customHeight="1">
      <c r="G287" s="10"/>
      <c r="I287" s="10"/>
      <c r="J287" s="10"/>
      <c r="K287" s="86"/>
      <c r="M287" s="11"/>
    </row>
    <row r="288" spans="7:13" s="9" customFormat="1" ht="12.75" customHeight="1">
      <c r="G288" s="10"/>
      <c r="I288" s="10"/>
      <c r="J288" s="10"/>
      <c r="K288" s="86"/>
      <c r="M288" s="11"/>
    </row>
    <row r="289" spans="7:13" s="9" customFormat="1" ht="12.75" customHeight="1">
      <c r="G289" s="10"/>
      <c r="I289" s="10"/>
      <c r="J289" s="10"/>
      <c r="K289" s="86"/>
      <c r="M289" s="11"/>
    </row>
    <row r="290" spans="7:13" s="9" customFormat="1" ht="12.75" customHeight="1">
      <c r="G290" s="10"/>
      <c r="I290" s="10"/>
      <c r="J290" s="10"/>
      <c r="K290" s="86"/>
      <c r="M290" s="11"/>
    </row>
    <row r="291" spans="7:13" s="9" customFormat="1" ht="12.75" customHeight="1">
      <c r="G291" s="10"/>
      <c r="I291" s="10"/>
      <c r="J291" s="10"/>
      <c r="K291" s="86"/>
      <c r="M291" s="11"/>
    </row>
    <row r="292" spans="7:13" s="9" customFormat="1" ht="12.75" customHeight="1">
      <c r="G292" s="10"/>
      <c r="I292" s="10"/>
      <c r="J292" s="10"/>
      <c r="K292" s="86"/>
      <c r="M292" s="11"/>
    </row>
    <row r="293" spans="7:13" s="9" customFormat="1" ht="12.75" customHeight="1">
      <c r="G293" s="10"/>
      <c r="I293" s="10"/>
      <c r="J293" s="10"/>
      <c r="K293" s="86"/>
      <c r="M293" s="11"/>
    </row>
    <row r="294" spans="7:13" s="9" customFormat="1" ht="12.75" customHeight="1">
      <c r="G294" s="10"/>
      <c r="I294" s="10"/>
      <c r="J294" s="10"/>
      <c r="K294" s="86"/>
      <c r="M294" s="11"/>
    </row>
    <row r="295" spans="7:13" s="9" customFormat="1" ht="12.75" customHeight="1">
      <c r="G295" s="10"/>
      <c r="I295" s="10"/>
      <c r="J295" s="10"/>
      <c r="K295" s="86"/>
      <c r="M295" s="11"/>
    </row>
    <row r="296" spans="7:13" s="9" customFormat="1" ht="12.75" customHeight="1">
      <c r="G296" s="10"/>
      <c r="I296" s="10"/>
      <c r="J296" s="10"/>
      <c r="K296" s="86"/>
      <c r="M296" s="11"/>
    </row>
    <row r="297" spans="7:13" s="9" customFormat="1" ht="12.75" customHeight="1">
      <c r="G297" s="10"/>
      <c r="I297" s="10"/>
      <c r="J297" s="10"/>
      <c r="K297" s="86"/>
      <c r="M297" s="11"/>
    </row>
    <row r="298" spans="7:13" s="9" customFormat="1" ht="12.75" customHeight="1">
      <c r="G298" s="10"/>
      <c r="I298" s="10"/>
      <c r="J298" s="10"/>
      <c r="K298" s="86"/>
      <c r="M298" s="11"/>
    </row>
    <row r="299" spans="7:13" s="9" customFormat="1" ht="12.75" customHeight="1">
      <c r="G299" s="10"/>
      <c r="I299" s="10"/>
      <c r="J299" s="10"/>
      <c r="K299" s="86"/>
      <c r="M299" s="11"/>
    </row>
    <row r="300" spans="7:13" s="9" customFormat="1" ht="12.75" customHeight="1">
      <c r="G300" s="10"/>
      <c r="I300" s="10"/>
      <c r="J300" s="10"/>
      <c r="K300" s="86"/>
      <c r="M300" s="11"/>
    </row>
    <row r="301" spans="7:13" s="9" customFormat="1" ht="12.75" customHeight="1">
      <c r="G301" s="10"/>
      <c r="I301" s="10"/>
      <c r="J301" s="10"/>
      <c r="K301" s="86"/>
      <c r="M301" s="11"/>
    </row>
    <row r="302" spans="7:13" s="9" customFormat="1" ht="12.75" customHeight="1">
      <c r="G302" s="10"/>
      <c r="I302" s="10"/>
      <c r="J302" s="10"/>
      <c r="K302" s="86"/>
      <c r="M302" s="11"/>
    </row>
    <row r="303" spans="7:13" s="9" customFormat="1" ht="12.75" customHeight="1">
      <c r="G303" s="10"/>
      <c r="I303" s="10"/>
      <c r="J303" s="10"/>
      <c r="K303" s="86"/>
      <c r="M303" s="11"/>
    </row>
    <row r="304" spans="7:13" s="9" customFormat="1" ht="12.75" customHeight="1">
      <c r="G304" s="10"/>
      <c r="I304" s="10"/>
      <c r="J304" s="10"/>
      <c r="K304" s="86"/>
      <c r="M304" s="11"/>
    </row>
    <row r="305" spans="7:13" s="9" customFormat="1" ht="12.75" customHeight="1">
      <c r="G305" s="10"/>
      <c r="I305" s="10"/>
      <c r="J305" s="10"/>
      <c r="K305" s="86"/>
      <c r="M305" s="11"/>
    </row>
    <row r="306" spans="7:13" s="9" customFormat="1" ht="12.75" customHeight="1">
      <c r="G306" s="10"/>
      <c r="I306" s="10"/>
      <c r="J306" s="10"/>
      <c r="K306" s="86"/>
      <c r="M306" s="11"/>
    </row>
    <row r="307" spans="7:13" s="9" customFormat="1" ht="12.75" customHeight="1">
      <c r="G307" s="10"/>
      <c r="I307" s="10"/>
      <c r="J307" s="10"/>
      <c r="K307" s="86"/>
      <c r="M307" s="11"/>
    </row>
    <row r="308" spans="7:13" s="9" customFormat="1" ht="12.75" customHeight="1">
      <c r="G308" s="10"/>
      <c r="I308" s="10"/>
      <c r="J308" s="10"/>
      <c r="K308" s="86"/>
      <c r="M308" s="11"/>
    </row>
    <row r="309" spans="7:13" s="9" customFormat="1" ht="12.75" customHeight="1">
      <c r="G309" s="10"/>
      <c r="I309" s="10"/>
      <c r="J309" s="10"/>
      <c r="K309" s="86"/>
      <c r="M309" s="11"/>
    </row>
    <row r="310" spans="7:13" s="9" customFormat="1" ht="12.75" customHeight="1">
      <c r="G310" s="10"/>
      <c r="I310" s="10"/>
      <c r="J310" s="10"/>
      <c r="K310" s="86"/>
      <c r="M310" s="11"/>
    </row>
    <row r="311" spans="7:13" s="9" customFormat="1" ht="12.75" customHeight="1">
      <c r="G311" s="10"/>
      <c r="I311" s="10"/>
      <c r="J311" s="10"/>
      <c r="K311" s="86"/>
      <c r="M311" s="11"/>
    </row>
    <row r="312" spans="7:13" s="9" customFormat="1" ht="12.75" customHeight="1">
      <c r="G312" s="10"/>
      <c r="I312" s="10"/>
      <c r="J312" s="10"/>
      <c r="K312" s="86"/>
      <c r="M312" s="11"/>
    </row>
    <row r="313" spans="7:13" s="9" customFormat="1" ht="12.75" customHeight="1">
      <c r="G313" s="10"/>
      <c r="I313" s="10"/>
      <c r="J313" s="10"/>
      <c r="K313" s="86"/>
      <c r="M313" s="11"/>
    </row>
    <row r="314" spans="7:13" s="9" customFormat="1" ht="12.75" customHeight="1">
      <c r="G314" s="10"/>
      <c r="I314" s="10"/>
      <c r="J314" s="10"/>
      <c r="K314" s="86"/>
      <c r="M314" s="11"/>
    </row>
    <row r="315" spans="7:13" s="9" customFormat="1" ht="12.75" customHeight="1">
      <c r="G315" s="10"/>
      <c r="I315" s="10"/>
      <c r="J315" s="10"/>
      <c r="K315" s="86"/>
      <c r="M315" s="11"/>
    </row>
    <row r="316" spans="7:13" s="9" customFormat="1" ht="12.75" customHeight="1">
      <c r="G316" s="10"/>
      <c r="I316" s="10"/>
      <c r="J316" s="10"/>
      <c r="K316" s="86"/>
      <c r="M316" s="11"/>
    </row>
    <row r="317" spans="7:13" s="9" customFormat="1" ht="12.75" customHeight="1">
      <c r="G317" s="10"/>
      <c r="I317" s="10"/>
      <c r="J317" s="10"/>
      <c r="K317" s="86"/>
      <c r="M317" s="11"/>
    </row>
    <row r="318" spans="7:13" s="9" customFormat="1" ht="12.75" customHeight="1">
      <c r="G318" s="10"/>
      <c r="I318" s="10"/>
      <c r="J318" s="10"/>
      <c r="K318" s="86"/>
      <c r="M318" s="11"/>
    </row>
    <row r="319" spans="7:13" s="9" customFormat="1" ht="12.75" customHeight="1">
      <c r="G319" s="10"/>
      <c r="I319" s="10"/>
      <c r="J319" s="10"/>
      <c r="K319" s="86"/>
      <c r="M319" s="11"/>
    </row>
    <row r="320" spans="7:13" s="9" customFormat="1" ht="12.75" customHeight="1">
      <c r="G320" s="10"/>
      <c r="I320" s="10"/>
      <c r="J320" s="10"/>
      <c r="K320" s="86"/>
      <c r="M320" s="11"/>
    </row>
    <row r="321" spans="7:13" s="9" customFormat="1" ht="12.75" customHeight="1">
      <c r="G321" s="10"/>
      <c r="I321" s="10"/>
      <c r="J321" s="10"/>
      <c r="K321" s="86"/>
      <c r="M321" s="11"/>
    </row>
    <row r="322" spans="7:13" s="9" customFormat="1" ht="12.75" customHeight="1">
      <c r="G322" s="10"/>
      <c r="I322" s="10"/>
      <c r="J322" s="10"/>
      <c r="K322" s="86"/>
      <c r="M322" s="11"/>
    </row>
    <row r="323" spans="7:13" s="9" customFormat="1" ht="12.75" customHeight="1">
      <c r="G323" s="10"/>
      <c r="I323" s="10"/>
      <c r="J323" s="10"/>
      <c r="K323" s="86"/>
      <c r="M323" s="11"/>
    </row>
    <row r="324" spans="7:13" s="9" customFormat="1" ht="12.75" customHeight="1">
      <c r="G324" s="10"/>
      <c r="I324" s="10"/>
      <c r="J324" s="10"/>
      <c r="K324" s="86"/>
      <c r="M324" s="11"/>
    </row>
    <row r="325" spans="7:13" s="9" customFormat="1" ht="12.75" customHeight="1">
      <c r="G325" s="10"/>
      <c r="I325" s="10"/>
      <c r="J325" s="10"/>
      <c r="K325" s="86"/>
      <c r="M325" s="11"/>
    </row>
    <row r="326" spans="7:13" s="9" customFormat="1" ht="12.75" customHeight="1">
      <c r="G326" s="10"/>
      <c r="I326" s="10"/>
      <c r="J326" s="10"/>
      <c r="K326" s="86"/>
      <c r="M326" s="11"/>
    </row>
    <row r="327" spans="7:13" s="9" customFormat="1" ht="12.75" customHeight="1">
      <c r="G327" s="10"/>
      <c r="I327" s="10"/>
      <c r="J327" s="10"/>
      <c r="K327" s="86"/>
      <c r="M327" s="11"/>
    </row>
    <row r="328" spans="7:13" s="9" customFormat="1" ht="12.75" customHeight="1">
      <c r="G328" s="10"/>
      <c r="I328" s="10"/>
      <c r="J328" s="10"/>
      <c r="K328" s="86"/>
      <c r="M328" s="11"/>
    </row>
    <row r="329" spans="7:13" s="9" customFormat="1" ht="12.75" customHeight="1">
      <c r="G329" s="10"/>
      <c r="I329" s="10"/>
      <c r="J329" s="10"/>
      <c r="K329" s="86"/>
      <c r="M329" s="11"/>
    </row>
    <row r="330" spans="7:13" s="9" customFormat="1" ht="12.75" customHeight="1">
      <c r="G330" s="10"/>
      <c r="I330" s="10"/>
      <c r="J330" s="10"/>
      <c r="K330" s="86"/>
      <c r="M330" s="11"/>
    </row>
    <row r="331" spans="7:13" s="9" customFormat="1" ht="12.75" customHeight="1">
      <c r="G331" s="10"/>
      <c r="I331" s="10"/>
      <c r="J331" s="10"/>
      <c r="K331" s="86"/>
      <c r="M331" s="11"/>
    </row>
    <row r="332" spans="7:13" s="9" customFormat="1" ht="12.75" customHeight="1">
      <c r="G332" s="10"/>
      <c r="I332" s="10"/>
      <c r="J332" s="10"/>
      <c r="K332" s="86"/>
      <c r="M332" s="11"/>
    </row>
    <row r="333" spans="7:13" s="9" customFormat="1" ht="12.75" customHeight="1">
      <c r="G333" s="10"/>
      <c r="I333" s="10"/>
      <c r="J333" s="10"/>
      <c r="K333" s="86"/>
      <c r="M333" s="11"/>
    </row>
    <row r="334" spans="7:13" s="9" customFormat="1" ht="12.75" customHeight="1">
      <c r="G334" s="10"/>
      <c r="I334" s="10"/>
      <c r="J334" s="10"/>
      <c r="K334" s="86"/>
      <c r="M334" s="11"/>
    </row>
    <row r="335" spans="7:13" s="9" customFormat="1" ht="12.75" customHeight="1">
      <c r="G335" s="10"/>
      <c r="I335" s="10"/>
      <c r="J335" s="10"/>
      <c r="K335" s="86"/>
      <c r="M335" s="11"/>
    </row>
    <row r="336" spans="7:13" s="9" customFormat="1" ht="12.75" customHeight="1">
      <c r="G336" s="10"/>
      <c r="I336" s="10"/>
      <c r="J336" s="10"/>
      <c r="K336" s="86"/>
      <c r="M336" s="11"/>
    </row>
    <row r="337" spans="7:13" s="9" customFormat="1" ht="12.75" customHeight="1">
      <c r="G337" s="10"/>
      <c r="I337" s="10"/>
      <c r="J337" s="10"/>
      <c r="K337" s="86"/>
      <c r="M337" s="11"/>
    </row>
    <row r="338" spans="7:13" s="9" customFormat="1" ht="12.75" customHeight="1">
      <c r="G338" s="10"/>
      <c r="I338" s="10"/>
      <c r="J338" s="10"/>
      <c r="K338" s="86"/>
      <c r="M338" s="11"/>
    </row>
    <row r="339" spans="7:13" s="9" customFormat="1" ht="12.75" customHeight="1">
      <c r="G339" s="10"/>
      <c r="I339" s="10"/>
      <c r="J339" s="10"/>
      <c r="K339" s="86"/>
      <c r="M339" s="11"/>
    </row>
    <row r="340" spans="7:13" s="9" customFormat="1" ht="12.75" customHeight="1">
      <c r="G340" s="10"/>
      <c r="I340" s="10"/>
      <c r="J340" s="10"/>
      <c r="K340" s="86"/>
      <c r="M340" s="11"/>
    </row>
    <row r="341" spans="7:13" s="9" customFormat="1" ht="12.75" customHeight="1">
      <c r="G341" s="10"/>
      <c r="I341" s="10"/>
      <c r="J341" s="10"/>
      <c r="K341" s="86"/>
      <c r="M341" s="11"/>
    </row>
    <row r="342" spans="7:13" s="9" customFormat="1" ht="12.75" customHeight="1">
      <c r="G342" s="10"/>
      <c r="I342" s="10"/>
      <c r="J342" s="10"/>
      <c r="K342" s="86"/>
      <c r="M342" s="11"/>
    </row>
    <row r="343" spans="7:13" s="9" customFormat="1" ht="12.75" customHeight="1">
      <c r="G343" s="10"/>
      <c r="I343" s="10"/>
      <c r="J343" s="10"/>
      <c r="K343" s="86"/>
      <c r="M343" s="11"/>
    </row>
    <row r="344" spans="7:13" s="9" customFormat="1" ht="12.75" customHeight="1">
      <c r="G344" s="10"/>
      <c r="I344" s="10"/>
      <c r="J344" s="10"/>
      <c r="K344" s="86"/>
      <c r="M344" s="11"/>
    </row>
    <row r="345" spans="7:13" s="9" customFormat="1" ht="12.75" customHeight="1">
      <c r="G345" s="10"/>
      <c r="I345" s="10"/>
      <c r="J345" s="10"/>
      <c r="K345" s="86"/>
      <c r="M345" s="11"/>
    </row>
    <row r="346" spans="7:13" s="9" customFormat="1" ht="12.75" customHeight="1">
      <c r="G346" s="10"/>
      <c r="I346" s="10"/>
      <c r="J346" s="10"/>
      <c r="K346" s="86"/>
      <c r="M346" s="11"/>
    </row>
    <row r="347" spans="7:13" s="9" customFormat="1" ht="12.75" customHeight="1">
      <c r="G347" s="10"/>
      <c r="I347" s="10"/>
      <c r="J347" s="10"/>
      <c r="K347" s="86"/>
      <c r="M347" s="11"/>
    </row>
    <row r="348" spans="7:13" s="9" customFormat="1" ht="12.75" customHeight="1">
      <c r="G348" s="10"/>
      <c r="I348" s="10"/>
      <c r="J348" s="10"/>
      <c r="K348" s="86"/>
      <c r="M348" s="11"/>
    </row>
    <row r="349" spans="7:13" s="9" customFormat="1" ht="12.75" customHeight="1">
      <c r="G349" s="10"/>
      <c r="I349" s="10"/>
      <c r="J349" s="10"/>
      <c r="K349" s="86"/>
      <c r="M349" s="11"/>
    </row>
    <row r="350" spans="7:13" s="9" customFormat="1" ht="12.75" customHeight="1">
      <c r="G350" s="10"/>
      <c r="I350" s="10"/>
      <c r="J350" s="10"/>
      <c r="K350" s="86"/>
      <c r="M350" s="11"/>
    </row>
    <row r="351" spans="7:13" s="9" customFormat="1" ht="12.75" customHeight="1">
      <c r="G351" s="10"/>
      <c r="I351" s="10"/>
      <c r="J351" s="10"/>
      <c r="K351" s="86"/>
      <c r="M351" s="11"/>
    </row>
    <row r="352" spans="7:13" s="9" customFormat="1" ht="12.75" customHeight="1">
      <c r="G352" s="10"/>
      <c r="I352" s="10"/>
      <c r="J352" s="10"/>
      <c r="K352" s="86"/>
      <c r="M352" s="11"/>
    </row>
    <row r="353" spans="7:13" s="9" customFormat="1" ht="12.75" customHeight="1">
      <c r="G353" s="10"/>
      <c r="I353" s="10"/>
      <c r="J353" s="10"/>
      <c r="K353" s="86"/>
      <c r="M353" s="11"/>
    </row>
    <row r="354" spans="7:13" s="9" customFormat="1" ht="12.75" customHeight="1">
      <c r="G354" s="10"/>
      <c r="I354" s="10"/>
      <c r="J354" s="10"/>
      <c r="K354" s="86"/>
      <c r="M354" s="11"/>
    </row>
    <row r="355" spans="7:13" s="9" customFormat="1" ht="12.75" customHeight="1">
      <c r="G355" s="10"/>
      <c r="I355" s="10"/>
      <c r="J355" s="10"/>
      <c r="K355" s="86"/>
      <c r="M355" s="11"/>
    </row>
    <row r="356" spans="7:13" s="9" customFormat="1" ht="12.75" customHeight="1">
      <c r="G356" s="10"/>
      <c r="I356" s="10"/>
      <c r="J356" s="10"/>
      <c r="K356" s="86"/>
      <c r="M356" s="11"/>
    </row>
    <row r="357" spans="7:13" s="9" customFormat="1" ht="12.75" customHeight="1">
      <c r="G357" s="10"/>
      <c r="I357" s="10"/>
      <c r="J357" s="10"/>
      <c r="K357" s="86"/>
      <c r="M357" s="11"/>
    </row>
    <row r="358" spans="7:13" s="9" customFormat="1" ht="12.75" customHeight="1">
      <c r="G358" s="10"/>
      <c r="I358" s="10"/>
      <c r="J358" s="10"/>
      <c r="K358" s="86"/>
      <c r="M358" s="11"/>
    </row>
    <row r="359" spans="7:13" s="9" customFormat="1" ht="12.75" customHeight="1">
      <c r="G359" s="10"/>
      <c r="I359" s="10"/>
      <c r="J359" s="10"/>
      <c r="K359" s="86"/>
      <c r="M359" s="11"/>
    </row>
    <row r="360" spans="7:13" s="9" customFormat="1" ht="12.75" customHeight="1">
      <c r="G360" s="10"/>
      <c r="I360" s="10"/>
      <c r="J360" s="10"/>
      <c r="K360" s="86"/>
      <c r="M360" s="11"/>
    </row>
    <row r="361" spans="7:13" s="9" customFormat="1" ht="12.75" customHeight="1">
      <c r="G361" s="10"/>
      <c r="I361" s="10"/>
      <c r="J361" s="10"/>
      <c r="K361" s="86"/>
      <c r="M361" s="11"/>
    </row>
    <row r="362" spans="7:13" s="9" customFormat="1" ht="12.75" customHeight="1">
      <c r="G362" s="10"/>
      <c r="I362" s="10"/>
      <c r="J362" s="10"/>
      <c r="K362" s="86"/>
      <c r="M362" s="11"/>
    </row>
    <row r="363" spans="7:13" s="9" customFormat="1" ht="12.75" customHeight="1">
      <c r="G363" s="10"/>
      <c r="I363" s="10"/>
      <c r="J363" s="10"/>
      <c r="K363" s="86"/>
      <c r="M363" s="11"/>
    </row>
    <row r="364" spans="7:13" s="9" customFormat="1" ht="12.75" customHeight="1">
      <c r="G364" s="10"/>
      <c r="I364" s="10"/>
      <c r="J364" s="10"/>
      <c r="K364" s="86"/>
      <c r="M364" s="11"/>
    </row>
    <row r="365" spans="7:13" s="9" customFormat="1" ht="12.75" customHeight="1">
      <c r="G365" s="10"/>
      <c r="I365" s="10"/>
      <c r="J365" s="10"/>
      <c r="K365" s="86"/>
      <c r="M365" s="11"/>
    </row>
    <row r="366" spans="7:13" s="9" customFormat="1" ht="12.75" customHeight="1">
      <c r="G366" s="10"/>
      <c r="I366" s="10"/>
      <c r="J366" s="10"/>
      <c r="K366" s="86"/>
      <c r="M366" s="11"/>
    </row>
    <row r="367" spans="7:13" s="9" customFormat="1" ht="12.75" customHeight="1">
      <c r="G367" s="10"/>
      <c r="I367" s="10"/>
      <c r="J367" s="10"/>
      <c r="K367" s="86"/>
      <c r="M367" s="11"/>
    </row>
    <row r="368" spans="7:13" s="9" customFormat="1" ht="12.75" customHeight="1">
      <c r="G368" s="10"/>
      <c r="I368" s="10"/>
      <c r="J368" s="10"/>
      <c r="K368" s="86"/>
      <c r="M368" s="11"/>
    </row>
    <row r="369" spans="7:13" s="9" customFormat="1" ht="12.75" customHeight="1">
      <c r="G369" s="10"/>
      <c r="I369" s="10"/>
      <c r="J369" s="10"/>
      <c r="K369" s="86"/>
      <c r="M369" s="11"/>
    </row>
    <row r="370" spans="7:13" s="9" customFormat="1" ht="12.75" customHeight="1">
      <c r="G370" s="10"/>
      <c r="I370" s="10"/>
      <c r="J370" s="10"/>
      <c r="K370" s="86"/>
      <c r="M370" s="11"/>
    </row>
    <row r="371" spans="7:13" s="9" customFormat="1" ht="12.75" customHeight="1">
      <c r="G371" s="10"/>
      <c r="I371" s="10"/>
      <c r="J371" s="10"/>
      <c r="K371" s="86"/>
      <c r="M371" s="11"/>
    </row>
    <row r="372" spans="7:13" s="9" customFormat="1" ht="12.75" customHeight="1">
      <c r="G372" s="10"/>
      <c r="I372" s="10"/>
      <c r="J372" s="10"/>
      <c r="K372" s="86"/>
      <c r="M372" s="11"/>
    </row>
    <row r="373" spans="7:13" s="9" customFormat="1" ht="12.75" customHeight="1">
      <c r="G373" s="10"/>
      <c r="I373" s="10"/>
      <c r="J373" s="10"/>
      <c r="K373" s="86"/>
      <c r="M373" s="11"/>
    </row>
    <row r="374" spans="7:13" s="9" customFormat="1" ht="12.75" customHeight="1">
      <c r="G374" s="10"/>
      <c r="I374" s="10"/>
      <c r="J374" s="10"/>
      <c r="K374" s="86"/>
      <c r="M374" s="11"/>
    </row>
    <row r="375" spans="7:13" s="9" customFormat="1" ht="12.75" customHeight="1">
      <c r="G375" s="10"/>
      <c r="I375" s="10"/>
      <c r="J375" s="10"/>
      <c r="K375" s="86"/>
      <c r="M375" s="11"/>
    </row>
    <row r="376" spans="7:13" s="9" customFormat="1" ht="12.75" customHeight="1">
      <c r="G376" s="10"/>
      <c r="I376" s="10"/>
      <c r="J376" s="10"/>
      <c r="K376" s="86"/>
      <c r="M376" s="11"/>
    </row>
    <row r="377" spans="7:13" s="9" customFormat="1" ht="12.75" customHeight="1">
      <c r="G377" s="10"/>
      <c r="I377" s="10"/>
      <c r="J377" s="10"/>
      <c r="K377" s="86"/>
      <c r="M377" s="11"/>
    </row>
    <row r="378" spans="7:13" s="9" customFormat="1" ht="12.75" customHeight="1">
      <c r="G378" s="10"/>
      <c r="I378" s="10"/>
      <c r="J378" s="10"/>
      <c r="K378" s="86"/>
      <c r="M378" s="11"/>
    </row>
    <row r="379" spans="7:13" s="9" customFormat="1" ht="12.75" customHeight="1">
      <c r="G379" s="10"/>
      <c r="I379" s="10"/>
      <c r="J379" s="10"/>
      <c r="K379" s="86"/>
      <c r="M379" s="11"/>
    </row>
    <row r="380" spans="7:13" s="9" customFormat="1" ht="12.75" customHeight="1">
      <c r="G380" s="10"/>
      <c r="I380" s="10"/>
      <c r="J380" s="10"/>
      <c r="K380" s="86"/>
      <c r="M380" s="11"/>
    </row>
    <row r="381" spans="7:13" s="9" customFormat="1" ht="12.75" customHeight="1">
      <c r="G381" s="10"/>
      <c r="I381" s="10"/>
      <c r="J381" s="10"/>
      <c r="K381" s="86"/>
      <c r="M381" s="11"/>
    </row>
    <row r="382" spans="7:13" s="9" customFormat="1" ht="12.75" customHeight="1">
      <c r="G382" s="10"/>
      <c r="I382" s="10"/>
      <c r="J382" s="10"/>
      <c r="K382" s="86"/>
      <c r="M382" s="11"/>
    </row>
  </sheetData>
  <sheetProtection sheet="1" objects="1" scenarios="1"/>
  <printOptions gridLines="1" horizontalCentered="1"/>
  <pageMargins left="0.31496062992126" right="0.31496062992126" top="0.71" bottom="0.6" header="0.511811023622047" footer="0.354330708661417"/>
  <pageSetup fitToHeight="4" fitToWidth="4" orientation="landscape" paperSize="9" r:id="rId3"/>
  <headerFooter alignWithMargins="0">
    <oddHeader>&amp;C&amp;"Hebar,Regular"Теплотехнические расчеты согл.  СНИП-II-3-79*</oddHeader>
    <oddFooter>&amp;CPage &amp;P&amp;R&amp;D       &amp;T</oddFooter>
  </headerFooter>
  <colBreaks count="1" manualBreakCount="1">
    <brk id="9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6"/>
  <sheetViews>
    <sheetView workbookViewId="0" topLeftCell="A8">
      <selection activeCell="C13" sqref="C13"/>
    </sheetView>
  </sheetViews>
  <sheetFormatPr defaultColWidth="9.140625" defaultRowHeight="12.75" customHeight="1"/>
  <cols>
    <col min="1" max="1" width="3.7109375" style="0" customWidth="1"/>
    <col min="2" max="2" width="34.140625" style="0" customWidth="1"/>
    <col min="3" max="3" width="6.57421875" style="0" customWidth="1"/>
    <col min="4" max="4" width="7.8515625" style="0" customWidth="1"/>
    <col min="5" max="5" width="7.140625" style="0" customWidth="1"/>
    <col min="6" max="6" width="5.8515625" style="0" customWidth="1"/>
    <col min="7" max="7" width="5.7109375" style="1" customWidth="1"/>
    <col min="8" max="8" width="4.421875" style="0" customWidth="1"/>
    <col min="9" max="9" width="5.7109375" style="1" customWidth="1"/>
    <col min="10" max="10" width="4.8515625" style="1" customWidth="1"/>
    <col min="11" max="11" width="5.7109375" style="40" customWidth="1"/>
    <col min="12" max="12" width="4.140625" style="0" customWidth="1"/>
    <col min="13" max="13" width="5.7109375" style="2" customWidth="1"/>
    <col min="14" max="14" width="3.00390625" style="0" customWidth="1"/>
    <col min="15" max="15" width="7.28125" style="0" customWidth="1"/>
    <col min="16" max="16" width="6.140625" style="0" customWidth="1"/>
    <col min="17" max="17" width="8.28125" style="0" customWidth="1"/>
    <col min="18" max="18" width="5.8515625" style="0" customWidth="1"/>
    <col min="19" max="19" width="7.7109375" style="0" customWidth="1"/>
    <col min="20" max="20" width="9.28125" style="0" customWidth="1"/>
    <col min="21" max="21" width="3.140625" style="0" customWidth="1"/>
    <col min="22" max="22" width="2.140625" style="0" customWidth="1"/>
    <col min="23" max="23" width="3.8515625" style="0" customWidth="1"/>
    <col min="24" max="24" width="5.00390625" style="0" customWidth="1"/>
    <col min="25" max="25" width="4.421875" style="0" customWidth="1"/>
    <col min="26" max="26" width="5.421875" style="0" customWidth="1"/>
    <col min="27" max="27" width="5.28125" style="0" customWidth="1"/>
    <col min="28" max="28" width="5.140625" style="0" customWidth="1"/>
    <col min="29" max="30" width="4.7109375" style="0" customWidth="1"/>
    <col min="31" max="31" width="4.140625" style="0" customWidth="1"/>
    <col min="32" max="32" width="3.140625" style="0" customWidth="1"/>
    <col min="33" max="33" width="4.421875" style="0" customWidth="1"/>
    <col min="37" max="37" width="13.421875" style="0" customWidth="1"/>
    <col min="38" max="38" width="6.00390625" style="0" customWidth="1"/>
    <col min="39" max="39" width="6.28125" style="0" customWidth="1"/>
    <col min="40" max="40" width="7.00390625" style="0" customWidth="1"/>
  </cols>
  <sheetData>
    <row r="1" spans="1:13" s="498" customFormat="1" ht="12.75" customHeight="1">
      <c r="A1" s="162" t="str">
        <f>1Tепло!A1</f>
        <v>Обьект:Проспект Ленина д.17</v>
      </c>
      <c r="G1" s="981"/>
      <c r="I1" s="981"/>
      <c r="J1" s="981"/>
      <c r="K1" s="982"/>
      <c r="M1" s="777"/>
    </row>
    <row r="2" spans="1:13" s="498" customFormat="1" ht="12.75" customHeight="1">
      <c r="A2" s="162" t="str">
        <f>1Tепло!A2</f>
        <v>Подобьект: </v>
      </c>
      <c r="G2" s="981"/>
      <c r="I2" s="981"/>
      <c r="J2" s="981"/>
      <c r="K2" s="982"/>
      <c r="M2" s="777"/>
    </row>
    <row r="3" spans="1:13" s="498" customFormat="1" ht="12.75" customHeight="1">
      <c r="A3" s="162"/>
      <c r="C3" s="601" t="s">
        <v>391</v>
      </c>
      <c r="G3" s="981"/>
      <c r="I3" s="981"/>
      <c r="J3" s="981"/>
      <c r="K3" s="982"/>
      <c r="M3" s="777"/>
    </row>
    <row r="4" spans="3:13" s="109" customFormat="1" ht="12.75" customHeight="1">
      <c r="C4"/>
      <c r="G4" s="113"/>
      <c r="I4" s="113"/>
      <c r="J4" s="113"/>
      <c r="K4" s="121"/>
      <c r="M4" s="138"/>
    </row>
    <row r="5" spans="1:32" ht="12.75" customHeight="1">
      <c r="A5" s="162"/>
      <c r="B5" s="987" t="s">
        <v>392</v>
      </c>
      <c r="C5" s="172"/>
      <c r="D5" s="95"/>
      <c r="E5" s="95"/>
      <c r="F5" s="95"/>
      <c r="G5" s="96"/>
      <c r="H5" s="97"/>
      <c r="I5" s="96"/>
      <c r="J5" s="96"/>
      <c r="K5" s="98"/>
      <c r="L5" s="97"/>
      <c r="M5" s="99"/>
      <c r="N5" s="100"/>
      <c r="O5" s="95"/>
      <c r="P5" s="101"/>
      <c r="Q5" s="102"/>
      <c r="R5" s="102"/>
      <c r="S5" s="102"/>
      <c r="T5" s="102"/>
      <c r="U5" s="94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 customHeight="1">
      <c r="A6" s="162"/>
      <c r="B6" s="163"/>
      <c r="D6" s="165"/>
      <c r="E6" s="165"/>
      <c r="F6" s="165"/>
      <c r="G6" s="166"/>
      <c r="H6" s="165"/>
      <c r="I6" s="166"/>
      <c r="J6" s="166"/>
      <c r="K6" s="167"/>
      <c r="L6" s="168"/>
      <c r="M6" s="169"/>
      <c r="N6" s="170"/>
      <c r="O6" s="165"/>
      <c r="P6" s="101"/>
      <c r="Q6" s="102"/>
      <c r="R6" s="102"/>
      <c r="S6" s="102"/>
      <c r="T6" s="102"/>
      <c r="U6" s="103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4" ht="12.75" customHeight="1" thickBot="1">
      <c r="A7" s="171"/>
      <c r="B7" s="631" t="s">
        <v>393</v>
      </c>
      <c r="D7" s="171"/>
      <c r="E7" s="171"/>
      <c r="F7" s="171"/>
      <c r="G7" s="173"/>
      <c r="H7" s="171"/>
      <c r="I7" s="173"/>
      <c r="J7" s="173"/>
      <c r="K7" s="174"/>
      <c r="L7" s="171"/>
      <c r="M7" s="175"/>
      <c r="N7" s="176"/>
      <c r="O7" s="176"/>
      <c r="P7" s="44"/>
      <c r="Q7" s="44"/>
      <c r="R7" s="44"/>
      <c r="S7" s="8"/>
      <c r="T7" s="7"/>
      <c r="U7" s="6"/>
      <c r="V7" s="6"/>
      <c r="W7" s="6"/>
      <c r="X7" s="44"/>
      <c r="Y7" s="59"/>
      <c r="Z7" s="59"/>
      <c r="AA7" s="59"/>
      <c r="AB7" s="59"/>
      <c r="AC7" s="59"/>
      <c r="AD7" s="59"/>
      <c r="AE7" s="44"/>
      <c r="AF7" s="6"/>
      <c r="AH7" s="498" t="s">
        <v>394</v>
      </c>
    </row>
    <row r="8" spans="1:39" ht="12.75" customHeight="1" thickBot="1">
      <c r="A8" s="171"/>
      <c r="B8" s="177" t="s">
        <v>395</v>
      </c>
      <c r="C8" s="508"/>
      <c r="D8" s="431"/>
      <c r="E8" s="507"/>
      <c r="F8" s="508"/>
      <c r="G8" s="508"/>
      <c r="H8" s="508"/>
      <c r="I8" s="431"/>
      <c r="J8" s="509"/>
      <c r="K8" s="503"/>
      <c r="L8" s="431"/>
      <c r="M8" s="510"/>
      <c r="N8" s="176"/>
      <c r="O8" s="176"/>
      <c r="P8" s="44"/>
      <c r="Q8" s="44"/>
      <c r="R8" s="44"/>
      <c r="S8" s="8"/>
      <c r="T8" s="38"/>
      <c r="U8" s="6"/>
      <c r="V8" s="6"/>
      <c r="W8" s="6"/>
      <c r="X8" s="449"/>
      <c r="Y8" s="60"/>
      <c r="Z8" s="60"/>
      <c r="AA8" s="60"/>
      <c r="AB8" s="60"/>
      <c r="AC8" s="60"/>
      <c r="AD8" s="60"/>
      <c r="AE8" s="44"/>
      <c r="AF8" s="631"/>
      <c r="AG8" s="498"/>
      <c r="AH8" s="498"/>
      <c r="AI8" s="498"/>
      <c r="AJ8" s="498"/>
      <c r="AK8" s="498"/>
      <c r="AL8" s="498"/>
      <c r="AM8" s="500" t="s">
        <v>341</v>
      </c>
    </row>
    <row r="9" spans="1:41" ht="12.75" customHeight="1">
      <c r="A9" s="171"/>
      <c r="B9" s="176" t="str">
        <f>INDEX(AH9:AH11,AM9,1)</f>
        <v>Наруж. стены,перекр. и покр. в жил.и общ. зданиях</v>
      </c>
      <c r="C9" s="176"/>
      <c r="D9" s="431"/>
      <c r="E9" s="431"/>
      <c r="F9" s="431"/>
      <c r="G9" s="431"/>
      <c r="H9" s="431"/>
      <c r="I9" s="497"/>
      <c r="J9" s="511"/>
      <c r="K9" s="503"/>
      <c r="L9" s="504"/>
      <c r="M9" s="510"/>
      <c r="N9" s="176"/>
      <c r="O9" s="176"/>
      <c r="P9" s="44"/>
      <c r="Q9" s="44"/>
      <c r="R9" s="44"/>
      <c r="S9" s="8"/>
      <c r="T9" s="8"/>
      <c r="U9" s="6"/>
      <c r="V9" s="6"/>
      <c r="W9" s="34"/>
      <c r="X9" s="513"/>
      <c r="Y9" s="514"/>
      <c r="Z9" s="515"/>
      <c r="AA9" s="189"/>
      <c r="AB9" s="197"/>
      <c r="AC9" s="60"/>
      <c r="AD9" s="60"/>
      <c r="AE9" s="44"/>
      <c r="AF9" s="631"/>
      <c r="AG9" s="498">
        <v>1</v>
      </c>
      <c r="AH9" s="877" t="s">
        <v>396</v>
      </c>
      <c r="AI9" s="878"/>
      <c r="AJ9" s="878"/>
      <c r="AK9" s="879"/>
      <c r="AL9" s="500">
        <v>0.5</v>
      </c>
      <c r="AM9" s="971">
        <v>1</v>
      </c>
      <c r="AO9" s="531"/>
    </row>
    <row r="10" spans="1:40" ht="12.75" customHeight="1">
      <c r="A10" s="171"/>
      <c r="B10" s="203"/>
      <c r="C10" s="203"/>
      <c r="D10" s="423"/>
      <c r="E10" s="423"/>
      <c r="F10" s="423"/>
      <c r="G10" s="423"/>
      <c r="H10" s="423"/>
      <c r="I10" s="423"/>
      <c r="J10" s="423"/>
      <c r="K10" s="540"/>
      <c r="L10" s="504"/>
      <c r="M10" s="505"/>
      <c r="N10" s="176"/>
      <c r="O10" s="171"/>
      <c r="P10" s="44"/>
      <c r="Q10" s="44"/>
      <c r="R10" s="44"/>
      <c r="S10" s="8"/>
      <c r="T10" s="8"/>
      <c r="U10" s="6"/>
      <c r="V10" s="6"/>
      <c r="W10" s="34"/>
      <c r="X10" s="516"/>
      <c r="Y10" s="77"/>
      <c r="Z10" s="517"/>
      <c r="AA10" s="213"/>
      <c r="AB10" s="197"/>
      <c r="AC10" s="60"/>
      <c r="AD10" s="60"/>
      <c r="AE10" s="44"/>
      <c r="AF10" s="631"/>
      <c r="AG10" s="498">
        <v>2</v>
      </c>
      <c r="AH10" s="877" t="s">
        <v>397</v>
      </c>
      <c r="AI10" s="878"/>
      <c r="AJ10" s="878"/>
      <c r="AK10" s="879"/>
      <c r="AL10" s="500">
        <v>1</v>
      </c>
      <c r="AM10" s="499"/>
      <c r="AN10" s="498"/>
    </row>
    <row r="11" spans="1:40" ht="12.75" customHeight="1">
      <c r="A11" s="59"/>
      <c r="B11" s="1004" t="s">
        <v>398</v>
      </c>
      <c r="C11" s="989">
        <f>INDEX(AL9:AL12,AM9,1)</f>
        <v>0.5</v>
      </c>
      <c r="D11" s="990" t="s">
        <v>399</v>
      </c>
      <c r="E11" s="991"/>
      <c r="F11" s="992"/>
      <c r="G11" s="431"/>
      <c r="H11" s="993"/>
      <c r="I11" s="431"/>
      <c r="J11" s="431"/>
      <c r="K11" s="390"/>
      <c r="L11" s="512"/>
      <c r="M11" s="506"/>
      <c r="N11" s="199"/>
      <c r="P11" s="59"/>
      <c r="Q11" s="59"/>
      <c r="R11" s="59"/>
      <c r="S11" s="59"/>
      <c r="T11" s="59"/>
      <c r="U11" s="59"/>
      <c r="V11" s="59"/>
      <c r="W11" s="34"/>
      <c r="X11" s="518"/>
      <c r="Y11" s="519"/>
      <c r="Z11" s="517"/>
      <c r="AA11" s="213"/>
      <c r="AB11" s="520"/>
      <c r="AC11" s="521"/>
      <c r="AD11" s="60"/>
      <c r="AE11" s="44"/>
      <c r="AF11" s="631"/>
      <c r="AG11" s="498">
        <v>3</v>
      </c>
      <c r="AH11" s="877" t="s">
        <v>400</v>
      </c>
      <c r="AI11" s="878"/>
      <c r="AJ11" s="878"/>
      <c r="AK11" s="879"/>
      <c r="AL11" s="500">
        <v>0.5</v>
      </c>
      <c r="AM11" s="499"/>
      <c r="AN11" s="498"/>
    </row>
    <row r="12" spans="1:40" ht="12.75" customHeight="1">
      <c r="A12" s="59"/>
      <c r="B12" s="1004" t="s">
        <v>401</v>
      </c>
      <c r="C12" s="994">
        <v>4</v>
      </c>
      <c r="D12" s="990" t="s">
        <v>402</v>
      </c>
      <c r="E12" s="171" t="s">
        <v>403</v>
      </c>
      <c r="F12" s="995"/>
      <c r="G12" s="171"/>
      <c r="H12" s="996"/>
      <c r="I12" s="171"/>
      <c r="J12" s="171"/>
      <c r="K12" s="206"/>
      <c r="L12" s="207"/>
      <c r="M12" s="460"/>
      <c r="N12" s="199"/>
      <c r="P12" s="59"/>
      <c r="Q12" s="59"/>
      <c r="R12" s="59"/>
      <c r="S12" s="59"/>
      <c r="T12" s="59"/>
      <c r="U12" s="59"/>
      <c r="V12" s="59"/>
      <c r="W12" s="34"/>
      <c r="X12" s="516"/>
      <c r="Y12" s="77"/>
      <c r="Z12" s="64"/>
      <c r="AA12" s="60"/>
      <c r="AB12" s="93"/>
      <c r="AC12" s="60"/>
      <c r="AD12" s="60"/>
      <c r="AE12" s="44"/>
      <c r="AF12" s="631"/>
      <c r="AG12" s="498"/>
      <c r="AH12" s="877" t="s">
        <v>404</v>
      </c>
      <c r="AI12" s="878"/>
      <c r="AJ12" s="878"/>
      <c r="AK12" s="879"/>
      <c r="AL12" s="500">
        <v>1</v>
      </c>
      <c r="AM12" s="499"/>
      <c r="AN12" s="498"/>
    </row>
    <row r="13" spans="1:40" s="109" customFormat="1" ht="12.75" customHeight="1">
      <c r="A13" s="171"/>
      <c r="B13" s="982" t="s">
        <v>405</v>
      </c>
      <c r="C13" s="997">
        <f>INDEX(Tab!AK171:AK241,1Tепло!AD28,1)</f>
        <v>4.9</v>
      </c>
      <c r="D13" s="109" t="s">
        <v>304</v>
      </c>
      <c r="E13" s="109" t="s">
        <v>406</v>
      </c>
      <c r="G13" s="171"/>
      <c r="H13" s="996"/>
      <c r="I13" s="176"/>
      <c r="J13" s="176"/>
      <c r="K13" s="208"/>
      <c r="L13" s="207"/>
      <c r="M13" s="383"/>
      <c r="N13" s="515"/>
      <c r="P13" s="171"/>
      <c r="Q13" s="171"/>
      <c r="R13" s="171"/>
      <c r="S13" s="171"/>
      <c r="T13" s="171"/>
      <c r="U13" s="171"/>
      <c r="V13" s="171"/>
      <c r="W13" s="496"/>
      <c r="X13" s="431"/>
      <c r="Y13" s="431"/>
      <c r="Z13" s="515"/>
      <c r="AA13" s="176"/>
      <c r="AB13" s="520"/>
      <c r="AC13" s="176"/>
      <c r="AD13" s="176"/>
      <c r="AE13" s="171"/>
      <c r="AF13" s="631"/>
      <c r="AG13"/>
      <c r="AH13"/>
      <c r="AI13"/>
      <c r="AJ13"/>
      <c r="AK13"/>
      <c r="AL13"/>
      <c r="AM13"/>
      <c r="AN13"/>
    </row>
    <row r="14" spans="1:39" ht="12.75" customHeight="1">
      <c r="A14" s="59"/>
      <c r="B14" s="902" t="s">
        <v>407</v>
      </c>
      <c r="C14" s="998">
        <f>3463/(273+1Tепло!M7)</f>
        <v>14.020242914979757</v>
      </c>
      <c r="D14" s="999" t="s">
        <v>408</v>
      </c>
      <c r="E14" s="171" t="s">
        <v>409</v>
      </c>
      <c r="F14" s="1000"/>
      <c r="G14" s="176"/>
      <c r="H14" s="171"/>
      <c r="I14" s="176"/>
      <c r="J14" s="176"/>
      <c r="K14" s="209"/>
      <c r="L14" s="203"/>
      <c r="M14" s="460"/>
      <c r="N14" s="201"/>
      <c r="P14" s="59"/>
      <c r="Q14" s="59"/>
      <c r="R14" s="59"/>
      <c r="S14" s="59"/>
      <c r="T14" s="59"/>
      <c r="U14" s="59"/>
      <c r="V14" s="59"/>
      <c r="W14" s="6"/>
      <c r="X14" s="6"/>
      <c r="Y14" s="6"/>
      <c r="Z14" s="14"/>
      <c r="AA14" s="6"/>
      <c r="AB14" s="15"/>
      <c r="AC14" s="6"/>
      <c r="AD14" s="6"/>
      <c r="AE14" s="6"/>
      <c r="AF14" s="631"/>
      <c r="AG14" s="498"/>
      <c r="AH14" s="498" t="s">
        <v>410</v>
      </c>
      <c r="AI14" s="498"/>
      <c r="AJ14" s="498"/>
      <c r="AK14" s="498"/>
      <c r="AL14" s="498"/>
      <c r="AM14" s="500" t="s">
        <v>341</v>
      </c>
    </row>
    <row r="15" spans="1:39" ht="12.75" customHeight="1">
      <c r="A15" s="59"/>
      <c r="B15" s="902" t="s">
        <v>411</v>
      </c>
      <c r="C15" s="998">
        <f>3463/(273+1Tепло!D7)</f>
        <v>11.738983050847457</v>
      </c>
      <c r="D15" s="999" t="s">
        <v>408</v>
      </c>
      <c r="E15" s="171" t="s">
        <v>412</v>
      </c>
      <c r="F15" s="1000"/>
      <c r="G15" s="176"/>
      <c r="H15" s="59"/>
      <c r="I15" s="60"/>
      <c r="J15" s="60"/>
      <c r="K15" s="542"/>
      <c r="L15" s="59"/>
      <c r="M15" s="59"/>
      <c r="N15" s="60"/>
      <c r="O15" s="59"/>
      <c r="P15" s="59"/>
      <c r="Q15" s="59"/>
      <c r="R15" s="59"/>
      <c r="S15" s="59"/>
      <c r="T15" s="59"/>
      <c r="U15" s="59"/>
      <c r="V15" s="59"/>
      <c r="W15" s="6"/>
      <c r="X15" s="6"/>
      <c r="Y15" s="6"/>
      <c r="Z15" s="14"/>
      <c r="AA15" s="6"/>
      <c r="AB15" s="15"/>
      <c r="AC15" s="6"/>
      <c r="AD15" s="6"/>
      <c r="AE15" s="6"/>
      <c r="AF15" s="631"/>
      <c r="AG15" s="498">
        <v>1</v>
      </c>
      <c r="AH15" s="877" t="s">
        <v>413</v>
      </c>
      <c r="AI15" s="878"/>
      <c r="AJ15" s="878"/>
      <c r="AK15" s="879"/>
      <c r="AL15" s="970">
        <v>1.5</v>
      </c>
      <c r="AM15" s="971">
        <v>3</v>
      </c>
    </row>
    <row r="16" spans="1:40" ht="12.75" customHeight="1">
      <c r="A16" s="59"/>
      <c r="B16" s="902" t="s">
        <v>414</v>
      </c>
      <c r="C16" s="1001" t="s">
        <v>415</v>
      </c>
      <c r="D16" s="1000"/>
      <c r="E16" s="1000"/>
      <c r="F16" s="1000"/>
      <c r="G16" s="713"/>
      <c r="H16" s="60"/>
      <c r="I16" s="60"/>
      <c r="J16" s="60"/>
      <c r="K16" s="542"/>
      <c r="L16" s="64"/>
      <c r="M16" s="61"/>
      <c r="N16" s="60"/>
      <c r="O16" s="59"/>
      <c r="P16" s="59"/>
      <c r="Q16" s="59"/>
      <c r="R16" s="59"/>
      <c r="S16" s="59"/>
      <c r="T16" s="59"/>
      <c r="U16" s="59"/>
      <c r="V16" s="59"/>
      <c r="W16" s="6"/>
      <c r="X16" s="6"/>
      <c r="Y16" s="6"/>
      <c r="Z16" s="14"/>
      <c r="AA16" s="6"/>
      <c r="AB16" s="15"/>
      <c r="AC16" s="6"/>
      <c r="AD16" s="6"/>
      <c r="AE16" s="6"/>
      <c r="AF16" s="631"/>
      <c r="AG16" s="498">
        <v>2</v>
      </c>
      <c r="AH16" s="877" t="s">
        <v>416</v>
      </c>
      <c r="AI16" s="878"/>
      <c r="AJ16" s="878"/>
      <c r="AK16" s="879"/>
      <c r="AL16" s="970">
        <v>5</v>
      </c>
      <c r="AM16" s="633"/>
      <c r="AN16" s="881"/>
    </row>
    <row r="17" spans="1:40" ht="12.75" customHeight="1">
      <c r="A17" s="59"/>
      <c r="B17" s="902" t="s">
        <v>414</v>
      </c>
      <c r="C17" s="1002">
        <f>0.55*C12*(C14-C15)+0.03*C14*C13*C13</f>
        <v>15.117552672750978</v>
      </c>
      <c r="D17" s="1003" t="s">
        <v>157</v>
      </c>
      <c r="E17" s="171" t="s">
        <v>417</v>
      </c>
      <c r="F17" s="1000"/>
      <c r="G17" s="176"/>
      <c r="H17" s="60"/>
      <c r="I17" s="60"/>
      <c r="J17" s="60"/>
      <c r="K17" s="544"/>
      <c r="L17" s="60"/>
      <c r="M17" s="66"/>
      <c r="N17" s="59"/>
      <c r="O17" s="59"/>
      <c r="P17" s="59"/>
      <c r="Q17" s="59"/>
      <c r="R17" s="59"/>
      <c r="S17" s="59"/>
      <c r="T17" s="59"/>
      <c r="U17" s="59"/>
      <c r="V17" s="59"/>
      <c r="W17" s="6"/>
      <c r="X17" s="522"/>
      <c r="Y17" s="522"/>
      <c r="Z17" s="522"/>
      <c r="AA17" s="522"/>
      <c r="AB17" s="522"/>
      <c r="AC17" s="522"/>
      <c r="AD17" s="6"/>
      <c r="AE17" s="6"/>
      <c r="AF17" s="631"/>
      <c r="AG17" s="498">
        <v>3</v>
      </c>
      <c r="AH17" s="877" t="s">
        <v>418</v>
      </c>
      <c r="AI17" s="878"/>
      <c r="AJ17" s="878"/>
      <c r="AK17" s="879"/>
      <c r="AL17" s="970">
        <v>6</v>
      </c>
      <c r="AM17" s="633"/>
      <c r="AN17" s="498"/>
    </row>
    <row r="18" spans="1:40" s="109" customFormat="1" ht="12" customHeight="1">
      <c r="A18" s="171"/>
      <c r="B18" s="903"/>
      <c r="C18" s="248"/>
      <c r="D18" s="535"/>
      <c r="E18" s="203"/>
      <c r="F18" s="203"/>
      <c r="G18" s="205"/>
      <c r="H18" s="205"/>
      <c r="I18" s="205"/>
      <c r="J18" s="205"/>
      <c r="K18" s="208"/>
      <c r="L18" s="176"/>
      <c r="M18" s="536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6"/>
      <c r="Y18" s="176"/>
      <c r="Z18" s="176"/>
      <c r="AA18" s="176"/>
      <c r="AB18" s="176"/>
      <c r="AC18" s="176"/>
      <c r="AD18" s="171"/>
      <c r="AE18" s="171"/>
      <c r="AF18" s="631"/>
      <c r="AG18" s="498">
        <v>4</v>
      </c>
      <c r="AH18" s="500" t="s">
        <v>419</v>
      </c>
      <c r="AI18" s="500"/>
      <c r="AJ18" s="500"/>
      <c r="AK18" s="500"/>
      <c r="AL18" s="970">
        <v>8</v>
      </c>
      <c r="AM18" s="633"/>
      <c r="AN18" s="498"/>
    </row>
    <row r="19" spans="1:40" s="109" customFormat="1" ht="12.75" customHeight="1">
      <c r="A19" s="203"/>
      <c r="B19" s="769" t="s">
        <v>420</v>
      </c>
      <c r="C19" s="537"/>
      <c r="D19" s="535"/>
      <c r="E19" s="23"/>
      <c r="F19" s="203"/>
      <c r="G19" s="205"/>
      <c r="H19" s="205"/>
      <c r="I19" s="205"/>
      <c r="J19" s="205"/>
      <c r="K19" s="208"/>
      <c r="L19" s="205"/>
      <c r="M19" s="545"/>
      <c r="N19" s="203"/>
      <c r="O19" s="203"/>
      <c r="P19" s="203"/>
      <c r="Q19" s="203"/>
      <c r="R19" s="203"/>
      <c r="S19" s="203"/>
      <c r="T19" s="171"/>
      <c r="U19" s="171"/>
      <c r="V19" s="171"/>
      <c r="W19" s="171"/>
      <c r="X19" s="176"/>
      <c r="Y19" s="176"/>
      <c r="Z19" s="176"/>
      <c r="AA19" s="176"/>
      <c r="AB19" s="176"/>
      <c r="AC19" s="176"/>
      <c r="AD19" s="171"/>
      <c r="AE19" s="171"/>
      <c r="AF19" s="631"/>
      <c r="AG19" s="499">
        <v>5</v>
      </c>
      <c r="AH19" s="500" t="s">
        <v>421</v>
      </c>
      <c r="AI19" s="500"/>
      <c r="AJ19" s="500"/>
      <c r="AK19" s="500"/>
      <c r="AL19" s="975">
        <v>6</v>
      </c>
      <c r="AM19" s="499"/>
      <c r="AN19" s="499"/>
    </row>
    <row r="20" spans="1:40" s="109" customFormat="1" ht="12.75" customHeight="1" thickBot="1">
      <c r="A20" s="203"/>
      <c r="B20" s="903" t="s">
        <v>422</v>
      </c>
      <c r="C20" s="537" t="s">
        <v>423</v>
      </c>
      <c r="D20"/>
      <c r="E20"/>
      <c r="F20" s="203"/>
      <c r="G20" s="205"/>
      <c r="H20" s="205"/>
      <c r="I20" s="205"/>
      <c r="J20" s="205"/>
      <c r="K20" s="208"/>
      <c r="L20" s="205"/>
      <c r="M20" s="545"/>
      <c r="N20" s="203"/>
      <c r="O20" s="203"/>
      <c r="P20" s="203"/>
      <c r="Q20" s="203"/>
      <c r="R20" s="203"/>
      <c r="S20" s="203"/>
      <c r="T20" s="171"/>
      <c r="U20" s="171"/>
      <c r="V20" s="171"/>
      <c r="W20" s="171"/>
      <c r="X20" s="176"/>
      <c r="Y20" s="176"/>
      <c r="Z20" s="176"/>
      <c r="AA20" s="176"/>
      <c r="AB20" s="176"/>
      <c r="AC20" s="176"/>
      <c r="AD20" s="171"/>
      <c r="AE20" s="171"/>
      <c r="AF20" s="171"/>
      <c r="AG20" s="126"/>
      <c r="AH20" s="126"/>
      <c r="AI20" s="126"/>
      <c r="AJ20" s="126"/>
      <c r="AK20" s="126"/>
      <c r="AL20" s="468"/>
      <c r="AM20" s="126"/>
      <c r="AN20" s="126"/>
    </row>
    <row r="21" spans="1:40" s="109" customFormat="1" ht="12.75" customHeight="1" thickBot="1">
      <c r="A21" s="203"/>
      <c r="B21" s="903" t="s">
        <v>422</v>
      </c>
      <c r="C21" s="599">
        <f>C17/C11</f>
        <v>30.235105345501957</v>
      </c>
      <c r="D21" s="538" t="s">
        <v>424</v>
      </c>
      <c r="E21" s="203"/>
      <c r="F21" s="547"/>
      <c r="G21" s="362"/>
      <c r="H21" s="203"/>
      <c r="I21" s="415"/>
      <c r="J21" s="203"/>
      <c r="K21" s="206"/>
      <c r="L21" s="203"/>
      <c r="M21" s="203"/>
      <c r="N21" s="203"/>
      <c r="O21" s="203"/>
      <c r="P21" s="203"/>
      <c r="Q21" s="203"/>
      <c r="R21" s="203"/>
      <c r="S21" s="203"/>
      <c r="T21" s="171"/>
      <c r="U21" s="171"/>
      <c r="V21" s="171"/>
      <c r="W21" s="171"/>
      <c r="X21" s="176"/>
      <c r="Y21" s="176"/>
      <c r="Z21" s="176"/>
      <c r="AA21" s="176"/>
      <c r="AB21" s="176"/>
      <c r="AC21" s="176"/>
      <c r="AD21" s="171"/>
      <c r="AE21" s="171"/>
      <c r="AF21" s="171"/>
      <c r="AG21" s="126"/>
      <c r="AH21" s="126"/>
      <c r="AI21" s="126"/>
      <c r="AJ21" s="126"/>
      <c r="AK21" s="126"/>
      <c r="AL21" s="126"/>
      <c r="AM21" s="126"/>
      <c r="AN21" s="126"/>
    </row>
    <row r="22" spans="1:40" s="109" customFormat="1" ht="12.75" customHeight="1">
      <c r="A22" s="203"/>
      <c r="B22" s="767"/>
      <c r="C22" s="547"/>
      <c r="D22" s="548"/>
      <c r="E22" s="547"/>
      <c r="F22" s="547"/>
      <c r="G22" s="362"/>
      <c r="H22" s="203"/>
      <c r="I22" s="415"/>
      <c r="J22" s="203"/>
      <c r="K22" s="206"/>
      <c r="L22" s="203"/>
      <c r="M22" s="203"/>
      <c r="N22" s="203"/>
      <c r="O22" s="203"/>
      <c r="P22" s="203"/>
      <c r="Q22" s="203"/>
      <c r="R22" s="203"/>
      <c r="S22" s="203"/>
      <c r="T22" s="171"/>
      <c r="U22" s="171"/>
      <c r="V22" s="171"/>
      <c r="W22" s="171"/>
      <c r="X22" s="176"/>
      <c r="Y22" s="176"/>
      <c r="Z22" s="176"/>
      <c r="AA22" s="176"/>
      <c r="AB22" s="176"/>
      <c r="AC22" s="176"/>
      <c r="AD22" s="171"/>
      <c r="AE22" s="171"/>
      <c r="AF22" s="171"/>
      <c r="AG22" s="126"/>
      <c r="AH22" s="126"/>
      <c r="AI22" s="126"/>
      <c r="AJ22" s="126"/>
      <c r="AK22" s="126"/>
      <c r="AL22" s="126"/>
      <c r="AM22" s="126"/>
      <c r="AN22" s="126"/>
    </row>
    <row r="23" spans="1:40" ht="12.75" customHeight="1">
      <c r="A23" s="70"/>
      <c r="B23" s="767" t="s">
        <v>425</v>
      </c>
      <c r="C23" s="969" t="s">
        <v>27</v>
      </c>
      <c r="D23" s="969" t="s">
        <v>426</v>
      </c>
      <c r="E23" s="418" t="s">
        <v>427</v>
      </c>
      <c r="F23" s="549"/>
      <c r="G23" s="550"/>
      <c r="H23" s="550"/>
      <c r="I23" s="70"/>
      <c r="J23" s="551"/>
      <c r="K23" s="552"/>
      <c r="L23" s="70"/>
      <c r="M23" s="70"/>
      <c r="N23" s="70"/>
      <c r="O23" s="70"/>
      <c r="P23" s="70"/>
      <c r="Q23" s="70"/>
      <c r="R23" s="70"/>
      <c r="S23" s="70"/>
      <c r="T23" s="59"/>
      <c r="U23" s="59"/>
      <c r="V23" s="59"/>
      <c r="W23" s="6"/>
      <c r="X23" s="522"/>
      <c r="Y23" s="205"/>
      <c r="Z23" s="3"/>
      <c r="AA23" s="524"/>
      <c r="AB23" s="525"/>
      <c r="AC23" s="526"/>
      <c r="AE23" s="267" t="s">
        <v>323</v>
      </c>
      <c r="AG23" s="3"/>
      <c r="AH23" s="522"/>
      <c r="AI23" s="3"/>
      <c r="AJ23" s="3"/>
      <c r="AK23" s="3"/>
      <c r="AL23" s="3"/>
      <c r="AM23" s="3"/>
      <c r="AN23" s="3"/>
    </row>
    <row r="24" spans="1:41" s="9" customFormat="1" ht="12.75" customHeight="1">
      <c r="A24" s="70">
        <v>1</v>
      </c>
      <c r="B24" s="586" t="str">
        <f>1Tепло!B16</f>
        <v>Сосна и ель(поперек волок.)</v>
      </c>
      <c r="C24" s="976">
        <f>1Tепло!D16</f>
        <v>430</v>
      </c>
      <c r="D24" s="976">
        <f>INDEX(Tab!K2:K103,1Tепло!Z16,1)</f>
        <v>20</v>
      </c>
      <c r="E24" s="973">
        <f>INDEX(Tab!J2:J103,1Tепло!Z16,1)</f>
        <v>1.5</v>
      </c>
      <c r="F24" s="532" t="s">
        <v>428</v>
      </c>
      <c r="G24" s="555"/>
      <c r="H24" s="203"/>
      <c r="I24" s="203"/>
      <c r="J24" s="552"/>
      <c r="K24" s="261"/>
      <c r="L24" s="70"/>
      <c r="M24" s="556"/>
      <c r="N24" s="70"/>
      <c r="O24" s="70"/>
      <c r="P24" s="70"/>
      <c r="Q24" s="70"/>
      <c r="R24" s="70"/>
      <c r="S24" s="70"/>
      <c r="T24" s="70"/>
      <c r="U24" s="70"/>
      <c r="V24" s="70"/>
      <c r="W24" s="23"/>
      <c r="X24" s="50"/>
      <c r="Y24" s="50"/>
      <c r="Z24" s="216"/>
      <c r="AA24" s="208"/>
      <c r="AB24" s="205"/>
      <c r="AC24" s="50"/>
      <c r="AD24"/>
      <c r="AE24"/>
      <c r="AF24" s="47"/>
      <c r="AG24" s="53"/>
      <c r="AH24" s="126"/>
      <c r="AI24" s="126"/>
      <c r="AJ24" s="126"/>
      <c r="AK24" s="126"/>
      <c r="AL24" s="126"/>
      <c r="AM24" s="126"/>
      <c r="AN24" s="53"/>
      <c r="AO24" s="52"/>
    </row>
    <row r="25" spans="1:41" s="9" customFormat="1" ht="12.75" customHeight="1">
      <c r="A25" s="70">
        <v>2</v>
      </c>
      <c r="B25" s="866" t="str">
        <f>1Tепло!B17</f>
        <v>  -- ПУСТО --</v>
      </c>
      <c r="C25" s="976">
        <f>1Tепло!D17</f>
        <v>0</v>
      </c>
      <c r="D25" s="976">
        <f>INDEX(Tab!K2:K103,1Tепло!Z17,1)</f>
        <v>0</v>
      </c>
      <c r="E25" s="973">
        <f>INDEX(Tab!J2:J103,1Tепло!Z17,1)</f>
        <v>0</v>
      </c>
      <c r="F25" s="532" t="s">
        <v>428</v>
      </c>
      <c r="G25" s="555"/>
      <c r="H25" s="203"/>
      <c r="I25" s="203"/>
      <c r="J25" s="552"/>
      <c r="K25" s="261"/>
      <c r="L25" s="70"/>
      <c r="M25" s="556"/>
      <c r="N25" s="70"/>
      <c r="O25" s="70"/>
      <c r="P25" s="70"/>
      <c r="Q25" s="70"/>
      <c r="R25" s="70"/>
      <c r="S25" s="70"/>
      <c r="T25" s="70"/>
      <c r="U25" s="70"/>
      <c r="V25" s="70"/>
      <c r="W25" s="23"/>
      <c r="X25" s="50"/>
      <c r="Y25" s="50"/>
      <c r="Z25" s="216"/>
      <c r="AA25" s="208"/>
      <c r="AB25" s="205"/>
      <c r="AC25" s="50"/>
      <c r="AD25"/>
      <c r="AE25"/>
      <c r="AF25" s="47"/>
      <c r="AG25" s="53"/>
      <c r="AH25" s="523"/>
      <c r="AI25" s="53"/>
      <c r="AJ25" s="53"/>
      <c r="AK25" s="53"/>
      <c r="AL25" s="53"/>
      <c r="AM25" s="53"/>
      <c r="AN25" s="53"/>
      <c r="AO25" s="52"/>
    </row>
    <row r="26" spans="1:41" s="9" customFormat="1" ht="15.75" customHeight="1">
      <c r="A26" s="75">
        <v>3</v>
      </c>
      <c r="B26" s="866" t="str">
        <f>1Tепло!B18</f>
        <v>  -- ПУСТО --</v>
      </c>
      <c r="C26" s="976">
        <f>1Tепло!D18</f>
        <v>0</v>
      </c>
      <c r="D26" s="976">
        <f>INDEX(Tab!K2:K103,1Tепло!Z18,1)</f>
        <v>0</v>
      </c>
      <c r="E26" s="973">
        <f>INDEX(Tab!J2:J103,1Tепло!Z18,1)</f>
        <v>0</v>
      </c>
      <c r="F26" s="532" t="s">
        <v>428</v>
      </c>
      <c r="G26" s="555"/>
      <c r="H26" s="203"/>
      <c r="I26" s="203"/>
      <c r="J26" s="552"/>
      <c r="K26" s="261"/>
      <c r="L26" s="70"/>
      <c r="M26" s="556"/>
      <c r="N26" s="70"/>
      <c r="O26" s="70"/>
      <c r="P26" s="70"/>
      <c r="Q26" s="70"/>
      <c r="R26" s="70"/>
      <c r="S26" s="70"/>
      <c r="T26" s="70"/>
      <c r="U26" s="70"/>
      <c r="V26" s="70"/>
      <c r="W26" s="23"/>
      <c r="X26" s="50"/>
      <c r="Y26" s="50"/>
      <c r="Z26" s="216"/>
      <c r="AA26" s="208"/>
      <c r="AB26" s="205"/>
      <c r="AC26" s="50"/>
      <c r="AD26"/>
      <c r="AE26"/>
      <c r="AF26" s="47"/>
      <c r="AG26" s="53"/>
      <c r="AH26" s="53"/>
      <c r="AI26" s="53"/>
      <c r="AJ26" s="53"/>
      <c r="AK26" s="53"/>
      <c r="AL26" s="53"/>
      <c r="AM26" s="53"/>
      <c r="AN26" s="53"/>
      <c r="AO26" s="52"/>
    </row>
    <row r="27" spans="1:41" s="9" customFormat="1" ht="15.75" customHeight="1">
      <c r="A27" s="75">
        <v>4</v>
      </c>
      <c r="B27" s="866" t="str">
        <f>1Tепло!B19</f>
        <v>  -- ПУСТО --</v>
      </c>
      <c r="C27" s="976">
        <f>1Tепло!D19</f>
        <v>0</v>
      </c>
      <c r="D27" s="976">
        <f>INDEX(Tab!K2:K103,1Tепло!Z19,1)</f>
        <v>0</v>
      </c>
      <c r="E27" s="973">
        <f>INDEX(Tab!J2:J103,1Tепло!Z19,1)</f>
        <v>0</v>
      </c>
      <c r="F27" s="532" t="s">
        <v>428</v>
      </c>
      <c r="G27" s="555"/>
      <c r="H27" s="203"/>
      <c r="I27" s="203"/>
      <c r="J27" s="552"/>
      <c r="K27" s="558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23"/>
      <c r="X27" s="50"/>
      <c r="Y27" s="50"/>
      <c r="Z27" s="216"/>
      <c r="AA27" s="208"/>
      <c r="AB27" s="205"/>
      <c r="AC27" s="50"/>
      <c r="AD27"/>
      <c r="AE27"/>
      <c r="AF27" s="47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s="12" customFormat="1" ht="15.75" customHeight="1">
      <c r="A28" s="75">
        <v>5</v>
      </c>
      <c r="B28" s="628" t="str">
        <f>1Tепло!B20</f>
        <v>  -- ПУСТО --</v>
      </c>
      <c r="C28" s="976">
        <f>1Tепло!D20</f>
        <v>0</v>
      </c>
      <c r="D28" s="976">
        <f>INDEX(Tab!K2:K103,1Tепло!Z20,1)</f>
        <v>0</v>
      </c>
      <c r="E28" s="974">
        <f>INDEX(Tab!J2:J103,1Tепло!Z20,1)</f>
        <v>0</v>
      </c>
      <c r="F28" s="532" t="s">
        <v>428</v>
      </c>
      <c r="G28" s="555"/>
      <c r="H28" s="203"/>
      <c r="I28" s="203"/>
      <c r="J28" s="552"/>
      <c r="K28" s="261"/>
      <c r="L28" s="70"/>
      <c r="M28" s="70"/>
      <c r="N28" s="70"/>
      <c r="O28" s="70"/>
      <c r="P28" s="70"/>
      <c r="Q28" s="75"/>
      <c r="R28" s="75"/>
      <c r="S28" s="75"/>
      <c r="T28" s="75"/>
      <c r="U28" s="75"/>
      <c r="V28" s="75"/>
      <c r="W28" s="25"/>
      <c r="X28" s="50"/>
      <c r="Y28" s="50"/>
      <c r="Z28" s="216"/>
      <c r="AA28" s="208"/>
      <c r="AB28" s="205"/>
      <c r="AC28" s="50"/>
      <c r="AD28" t="s">
        <v>0</v>
      </c>
      <c r="AE28"/>
      <c r="AF28" s="50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1:41" s="12" customFormat="1" ht="15.75" customHeight="1">
      <c r="A29" s="75">
        <v>5</v>
      </c>
      <c r="B29" s="628" t="str">
        <f>1Tепло!B21</f>
        <v>  -- ПУСТО --</v>
      </c>
      <c r="C29" s="976">
        <f>1Tепло!D21</f>
        <v>0</v>
      </c>
      <c r="D29" s="976">
        <f>INDEX(Tab!K2:K104,1Tепло!Z21,1)</f>
        <v>0</v>
      </c>
      <c r="E29" s="974">
        <f>INDEX(Tab!J2:J104,1Tепло!Z21,1)</f>
        <v>0</v>
      </c>
      <c r="F29" s="532" t="s">
        <v>428</v>
      </c>
      <c r="G29" s="555"/>
      <c r="H29" s="203"/>
      <c r="I29" s="203"/>
      <c r="J29" s="552"/>
      <c r="K29" s="261"/>
      <c r="L29" s="70"/>
      <c r="M29" s="70"/>
      <c r="N29" s="70"/>
      <c r="O29" s="70"/>
      <c r="P29" s="70"/>
      <c r="Q29" s="75"/>
      <c r="R29" s="75"/>
      <c r="S29" s="75"/>
      <c r="T29" s="75"/>
      <c r="U29" s="75"/>
      <c r="V29" s="75"/>
      <c r="W29" s="25"/>
      <c r="X29" s="50"/>
      <c r="Y29" s="50"/>
      <c r="Z29" s="216"/>
      <c r="AA29" s="208"/>
      <c r="AB29" s="205"/>
      <c r="AC29" s="50"/>
      <c r="AD29" t="s">
        <v>0</v>
      </c>
      <c r="AE29"/>
      <c r="AF29" s="50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1:41" s="12" customFormat="1" ht="15.75" customHeight="1">
      <c r="A30" s="75">
        <v>6</v>
      </c>
      <c r="B30" s="587" t="str">
        <f>1Tепло!B22</f>
        <v>  -- ПУСТО --</v>
      </c>
      <c r="C30" s="976">
        <f>1Tепло!D22</f>
        <v>0</v>
      </c>
      <c r="D30" s="976">
        <f>INDEX(Tab!K2:K103,1Tепло!Z22,1)</f>
        <v>0</v>
      </c>
      <c r="E30" s="973">
        <f>INDEX(Tab!J2:J103,1Tепло!Z22,1)</f>
        <v>0</v>
      </c>
      <c r="F30" s="532" t="s">
        <v>428</v>
      </c>
      <c r="G30" s="555"/>
      <c r="H30" s="203"/>
      <c r="I30" s="203"/>
      <c r="J30" s="552"/>
      <c r="K30" s="261"/>
      <c r="L30" s="559"/>
      <c r="M30" s="560"/>
      <c r="N30" s="559"/>
      <c r="O30" s="559"/>
      <c r="P30" s="559"/>
      <c r="Q30" s="559"/>
      <c r="R30" s="75"/>
      <c r="S30" s="75"/>
      <c r="T30" s="75"/>
      <c r="U30" s="75"/>
      <c r="V30" s="75"/>
      <c r="W30" s="25"/>
      <c r="X30" s="50"/>
      <c r="Y30" s="50"/>
      <c r="Z30" s="216"/>
      <c r="AA30" s="208"/>
      <c r="AB30" s="205"/>
      <c r="AC30" s="50"/>
      <c r="AD30"/>
      <c r="AE30"/>
      <c r="AF30" s="50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:41" s="12" customFormat="1" ht="15.75" customHeight="1">
      <c r="A31" s="75"/>
      <c r="B31" s="573"/>
      <c r="C31" s="561"/>
      <c r="D31" s="562"/>
      <c r="E31" s="563"/>
      <c r="F31" s="563"/>
      <c r="G31" s="203"/>
      <c r="H31" s="203"/>
      <c r="I31" s="203"/>
      <c r="J31" s="552"/>
      <c r="K31" s="564"/>
      <c r="L31" s="70"/>
      <c r="M31" s="70"/>
      <c r="N31" s="70"/>
      <c r="O31" s="70"/>
      <c r="P31" s="70"/>
      <c r="Q31" s="70"/>
      <c r="R31" s="75"/>
      <c r="S31" s="75"/>
      <c r="T31" s="75"/>
      <c r="U31" s="75"/>
      <c r="V31" s="75"/>
      <c r="W31" s="25"/>
      <c r="X31" s="50"/>
      <c r="Y31" s="50"/>
      <c r="Z31" s="44"/>
      <c r="AA31" s="44"/>
      <c r="AB31" s="44"/>
      <c r="AC31" s="44"/>
      <c r="AD31" s="44"/>
      <c r="AE31" s="50"/>
      <c r="AF31" s="50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1:43" s="579" customFormat="1" ht="15.75" customHeight="1">
      <c r="A32" s="574"/>
      <c r="B32" s="1070" t="s">
        <v>429</v>
      </c>
      <c r="C32" s="603" t="s">
        <v>430</v>
      </c>
      <c r="D32" s="574"/>
      <c r="E32" s="574"/>
      <c r="F32"/>
      <c r="G32" s="574"/>
      <c r="H32" s="1072" t="s">
        <v>431</v>
      </c>
      <c r="I32" s="575"/>
      <c r="J32" s="575"/>
      <c r="K32" s="576"/>
      <c r="L32" s="575"/>
      <c r="M32" s="577"/>
      <c r="N32" s="575"/>
      <c r="O32" s="575"/>
      <c r="P32" s="575"/>
      <c r="Q32" s="575"/>
      <c r="R32" s="574"/>
      <c r="S32" s="574"/>
      <c r="T32" s="574"/>
      <c r="U32" s="574"/>
      <c r="V32" s="574"/>
      <c r="W32" s="574"/>
      <c r="X32" s="574"/>
      <c r="Y32" s="574"/>
      <c r="Z32" s="578"/>
      <c r="AA32" s="578"/>
      <c r="AB32" s="578"/>
      <c r="AC32" s="578"/>
      <c r="AD32" s="578"/>
      <c r="AE32" s="574"/>
      <c r="AF32" s="574"/>
      <c r="AQ32" s="711"/>
    </row>
    <row r="33" spans="1:52" s="126" customFormat="1" ht="12.75" customHeight="1" thickBot="1">
      <c r="A33" s="171"/>
      <c r="B33" s="1005" t="s">
        <v>432</v>
      </c>
      <c r="C33" s="1006">
        <f>E24*C24/D24</f>
        <v>32.25</v>
      </c>
      <c r="D33" s="1007" t="s">
        <v>77</v>
      </c>
      <c r="E33" s="1006">
        <f>E25</f>
        <v>0</v>
      </c>
      <c r="F33" s="1007" t="s">
        <v>77</v>
      </c>
      <c r="G33" s="1006" t="e">
        <f>E26*C26/D26</f>
        <v>#DIV/0!</v>
      </c>
      <c r="H33" s="1007" t="s">
        <v>77</v>
      </c>
      <c r="I33" s="1006">
        <f>E27</f>
        <v>0</v>
      </c>
      <c r="J33" s="1007" t="s">
        <v>77</v>
      </c>
      <c r="K33" s="1008" t="e">
        <f>E28*C28/D28</f>
        <v>#DIV/0!</v>
      </c>
      <c r="L33" s="1007" t="s">
        <v>77</v>
      </c>
      <c r="M33" s="1007">
        <f>E29</f>
        <v>0</v>
      </c>
      <c r="N33" s="1007" t="s">
        <v>733</v>
      </c>
      <c r="O33" s="1006" t="e">
        <f>E30*C30/D30</f>
        <v>#DIV/0!</v>
      </c>
      <c r="P33" s="1007" t="s">
        <v>433</v>
      </c>
      <c r="Q33" s="1009" t="e">
        <f>C33+E33+G33+I33+K33+M33+O33</f>
        <v>#DIV/0!</v>
      </c>
      <c r="R33" s="1006" t="s">
        <v>434</v>
      </c>
      <c r="S33" s="1010"/>
      <c r="T33" s="171"/>
      <c r="U33" s="171"/>
      <c r="V33" s="171"/>
      <c r="W33" s="171"/>
      <c r="X33" s="176"/>
      <c r="Y33" s="176"/>
      <c r="Z33" s="431"/>
      <c r="AA33" s="431"/>
      <c r="AB33" s="431"/>
      <c r="AC33" s="431"/>
      <c r="AD33" s="431"/>
      <c r="AE33" s="431"/>
      <c r="AF33" s="431"/>
      <c r="AG33" s="431"/>
      <c r="AH33" s="431"/>
      <c r="AI33" s="468"/>
      <c r="AJ33" s="176" t="s">
        <v>343</v>
      </c>
      <c r="AK33" s="468"/>
      <c r="AL33" s="468"/>
      <c r="AM33" s="468"/>
      <c r="AN33" s="468"/>
      <c r="AO33" s="468"/>
      <c r="AP33" s="468"/>
      <c r="AQ33" s="992"/>
      <c r="AR33" s="992"/>
      <c r="AS33" s="712" t="e">
        <f>IF(C34&gt;=C21,1)+IF(C34&lt;C21,2)</f>
        <v>#DIV/0!</v>
      </c>
      <c r="AT33" s="713" t="s">
        <v>435</v>
      </c>
      <c r="AU33" s="992"/>
      <c r="AV33" s="992"/>
      <c r="AW33" s="992"/>
      <c r="AX33" s="992"/>
      <c r="AY33" s="468"/>
      <c r="AZ33" s="468"/>
    </row>
    <row r="34" spans="1:50" s="207" customFormat="1" ht="12.75" customHeight="1" thickBot="1">
      <c r="A34" s="203"/>
      <c r="B34" s="457" t="s">
        <v>436</v>
      </c>
      <c r="C34" s="1118" t="e">
        <f>Q33</f>
        <v>#DIV/0!</v>
      </c>
      <c r="D34" s="1013" t="s">
        <v>437</v>
      </c>
      <c r="E34" s="565"/>
      <c r="F34" s="278"/>
      <c r="G34" s="565"/>
      <c r="H34" s="278"/>
      <c r="I34" s="565"/>
      <c r="J34" s="278"/>
      <c r="K34" s="566"/>
      <c r="L34" s="432"/>
      <c r="M34" s="567"/>
      <c r="N34" s="205"/>
      <c r="O34" s="568"/>
      <c r="P34" s="372"/>
      <c r="Q34" s="568"/>
      <c r="R34" s="569"/>
      <c r="S34" s="203"/>
      <c r="T34" s="171"/>
      <c r="U34" s="203"/>
      <c r="V34" s="203"/>
      <c r="W34" s="203"/>
      <c r="X34" s="423"/>
      <c r="Y34" s="423"/>
      <c r="Z34" s="423"/>
      <c r="AA34" s="423"/>
      <c r="AB34" s="423"/>
      <c r="AC34" s="423"/>
      <c r="AD34" s="423"/>
      <c r="AE34" s="423"/>
      <c r="AF34" s="423"/>
      <c r="AG34" s="512"/>
      <c r="AH34" s="205" t="s">
        <v>438</v>
      </c>
      <c r="AI34" s="512"/>
      <c r="AJ34" s="512"/>
      <c r="AK34" s="512"/>
      <c r="AL34" s="512"/>
      <c r="AM34" s="512"/>
      <c r="AN34" s="512"/>
      <c r="AO34" s="471"/>
      <c r="AP34" s="471"/>
      <c r="AQ34" s="471"/>
      <c r="AR34" s="543" t="s">
        <v>439</v>
      </c>
      <c r="AS34" s="471"/>
      <c r="AT34" s="471"/>
      <c r="AU34" s="471"/>
      <c r="AV34" s="471"/>
      <c r="AW34" s="512"/>
      <c r="AX34" s="512"/>
    </row>
    <row r="35" spans="1:50" s="9" customFormat="1" ht="12.75" customHeight="1">
      <c r="A35" s="203"/>
      <c r="B35" s="265" t="s">
        <v>101</v>
      </c>
      <c r="C35" s="713" t="e">
        <f>INDEX(AH33:AH34,AS33,1)</f>
        <v>#DIV/0!</v>
      </c>
      <c r="D35" s="205"/>
      <c r="E35" s="205"/>
      <c r="F35" s="205"/>
      <c r="G35" s="280"/>
      <c r="H35" s="205"/>
      <c r="I35" s="280"/>
      <c r="J35" s="280"/>
      <c r="K35" s="206"/>
      <c r="L35" s="203"/>
      <c r="M35" s="281"/>
      <c r="N35" s="23"/>
      <c r="O35" s="23"/>
      <c r="P35" s="570"/>
      <c r="Q35" s="23"/>
      <c r="R35" s="23"/>
      <c r="S35" s="23"/>
      <c r="T35" s="23"/>
      <c r="U35" s="23"/>
      <c r="V35" s="23"/>
      <c r="W35" s="23"/>
      <c r="X35" s="527"/>
      <c r="Y35" s="527"/>
      <c r="Z35" s="527"/>
      <c r="AA35" s="528"/>
      <c r="AB35" s="529"/>
      <c r="AC35" s="527"/>
      <c r="AD35" s="527"/>
      <c r="AE35" s="527"/>
      <c r="AF35" s="527"/>
      <c r="AG35" s="523"/>
      <c r="AH35" s="523"/>
      <c r="AI35" s="523"/>
      <c r="AJ35" s="523"/>
      <c r="AK35" s="523"/>
      <c r="AL35" s="523"/>
      <c r="AM35" s="523"/>
      <c r="AN35" s="523"/>
      <c r="AO35" s="523"/>
      <c r="AP35" s="530"/>
      <c r="AQ35" s="530"/>
      <c r="AR35" s="530"/>
      <c r="AS35" s="530"/>
      <c r="AT35" s="530"/>
      <c r="AU35" s="530"/>
      <c r="AV35" s="530"/>
      <c r="AW35" s="530"/>
      <c r="AX35" s="530"/>
    </row>
    <row r="36" spans="1:50" s="207" customFormat="1" ht="12.75" customHeight="1">
      <c r="A36" s="203"/>
      <c r="B36" s="265"/>
      <c r="C36" s="717" t="s">
        <v>440</v>
      </c>
      <c r="D36" s="1120" t="e">
        <f>C34</f>
        <v>#DIV/0!</v>
      </c>
      <c r="E36" s="1011" t="e">
        <f>INDEX(AR33:AR34,AS33,1)</f>
        <v>#DIV/0!</v>
      </c>
      <c r="F36" s="1119">
        <f>C21</f>
        <v>30.235105345501957</v>
      </c>
      <c r="G36" s="1012" t="s">
        <v>424</v>
      </c>
      <c r="H36" s="632"/>
      <c r="I36" s="280"/>
      <c r="J36" s="280"/>
      <c r="K36" s="206"/>
      <c r="L36" s="203"/>
      <c r="M36" s="281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423"/>
      <c r="Y36" s="423"/>
      <c r="Z36" s="423"/>
      <c r="AA36" s="423"/>
      <c r="AB36" s="423"/>
      <c r="AC36" s="423"/>
      <c r="AD36" s="423"/>
      <c r="AE36" s="423"/>
      <c r="AF36" s="423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</row>
    <row r="37" spans="1:50" s="501" customFormat="1" ht="12.75" customHeight="1">
      <c r="A37" s="602"/>
      <c r="B37" s="977"/>
      <c r="C37" s="977"/>
      <c r="D37" s="978"/>
      <c r="E37" s="979"/>
      <c r="F37" s="980"/>
      <c r="G37" s="703"/>
      <c r="H37" s="603"/>
      <c r="I37" s="707"/>
      <c r="J37" s="707"/>
      <c r="K37" s="708"/>
      <c r="L37" s="602"/>
      <c r="M37" s="695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709"/>
      <c r="Y37" s="709"/>
      <c r="Z37" s="709"/>
      <c r="AA37" s="709"/>
      <c r="AB37" s="709"/>
      <c r="AC37" s="709"/>
      <c r="AD37" s="709"/>
      <c r="AE37" s="709"/>
      <c r="AF37" s="709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</row>
    <row r="38" spans="1:50" s="501" customFormat="1" ht="12.75" customHeight="1">
      <c r="A38" s="602"/>
      <c r="B38" s="977"/>
      <c r="C38" s="977"/>
      <c r="D38" s="978"/>
      <c r="E38" s="979"/>
      <c r="F38" s="980"/>
      <c r="G38" s="703"/>
      <c r="H38" s="603"/>
      <c r="I38" s="707"/>
      <c r="J38" s="707"/>
      <c r="K38" s="708"/>
      <c r="L38" s="602"/>
      <c r="M38" s="695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709"/>
      <c r="Y38" s="709"/>
      <c r="Z38" s="709"/>
      <c r="AA38" s="709"/>
      <c r="AB38" s="709"/>
      <c r="AC38" s="709"/>
      <c r="AD38" s="709"/>
      <c r="AE38" s="709"/>
      <c r="AF38" s="709"/>
      <c r="AG38" s="883"/>
      <c r="AH38" s="883"/>
      <c r="AI38" s="883"/>
      <c r="AJ38" s="883"/>
      <c r="AK38" s="883"/>
      <c r="AL38" s="883"/>
      <c r="AM38" s="883"/>
      <c r="AN38" s="883"/>
      <c r="AO38" s="883"/>
      <c r="AP38" s="883"/>
      <c r="AQ38" s="883"/>
      <c r="AR38" s="883"/>
      <c r="AS38" s="883"/>
      <c r="AT38" s="883"/>
      <c r="AU38" s="883"/>
      <c r="AV38" s="883"/>
      <c r="AW38" s="883"/>
      <c r="AX38" s="883"/>
    </row>
    <row r="39" spans="1:38" s="207" customFormat="1" ht="12.75" customHeight="1">
      <c r="A39" s="986"/>
      <c r="B39" s="988" t="s">
        <v>441</v>
      </c>
      <c r="C39" s="986"/>
      <c r="D39" s="986"/>
      <c r="E39" s="512"/>
      <c r="F39" s="512"/>
      <c r="G39" s="986"/>
      <c r="H39" s="986"/>
      <c r="I39" s="986"/>
      <c r="J39" s="986"/>
      <c r="K39" s="986"/>
      <c r="L39" s="986"/>
      <c r="M39" s="986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986"/>
      <c r="AH39" s="986"/>
      <c r="AI39" s="986"/>
      <c r="AJ39" s="986"/>
      <c r="AK39" s="986"/>
      <c r="AL39" s="986"/>
    </row>
    <row r="40" spans="1:32" s="9" customFormat="1" ht="12.75" customHeight="1">
      <c r="A40" s="23"/>
      <c r="B40"/>
      <c r="C40" s="25"/>
      <c r="D40" s="25"/>
      <c r="E40" s="25"/>
      <c r="F40" s="25"/>
      <c r="G40" s="36"/>
      <c r="H40" s="25"/>
      <c r="I40" s="36"/>
      <c r="J40" s="36"/>
      <c r="K40" s="35"/>
      <c r="L40" s="23"/>
      <c r="M40" s="3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9" customFormat="1" ht="12.75" customHeight="1" thickBot="1">
      <c r="A41" s="23"/>
      <c r="B41" s="1071" t="s">
        <v>442</v>
      </c>
      <c r="C41" s="205"/>
      <c r="D41" s="205"/>
      <c r="E41" s="205"/>
      <c r="F41" s="205"/>
      <c r="G41" s="36"/>
      <c r="H41" s="25"/>
      <c r="I41" s="36"/>
      <c r="J41" s="36"/>
      <c r="K41" s="35"/>
      <c r="L41" s="23"/>
      <c r="M41" s="37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9" customFormat="1" ht="12.75" customHeight="1" thickBot="1">
      <c r="A42" s="23"/>
      <c r="B42" s="177" t="s">
        <v>395</v>
      </c>
      <c r="C42" s="205"/>
      <c r="D42" s="205"/>
      <c r="E42" s="205"/>
      <c r="F42" s="205"/>
      <c r="G42" s="36"/>
      <c r="H42" s="25"/>
      <c r="I42" s="36"/>
      <c r="J42" s="36"/>
      <c r="K42" s="35"/>
      <c r="L42" s="23"/>
      <c r="M42" s="37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9" customFormat="1" ht="12.75" customHeight="1">
      <c r="A43" s="23"/>
      <c r="B43" s="205" t="str">
        <f>INDEX(AH15:AH118,AM15,1)</f>
        <v>Окна и балконные двери в деревян. переплетах</v>
      </c>
      <c r="C43" s="205"/>
      <c r="D43" s="205"/>
      <c r="E43" s="205"/>
      <c r="F43" s="205"/>
      <c r="G43" s="36"/>
      <c r="H43" s="25"/>
      <c r="I43" s="36"/>
      <c r="J43" s="36"/>
      <c r="K43" s="35"/>
      <c r="L43" s="23"/>
      <c r="M43" s="3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9" customFormat="1" ht="12.75" customHeight="1">
      <c r="A44" s="23"/>
      <c r="B44"/>
      <c r="C44"/>
      <c r="D44"/>
      <c r="E44" s="205"/>
      <c r="F44" s="205"/>
      <c r="G44" s="36"/>
      <c r="H44" s="25"/>
      <c r="I44" s="36"/>
      <c r="J44" s="36"/>
      <c r="K44" s="35"/>
      <c r="L44" s="23"/>
      <c r="M44" s="3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9" customFormat="1" ht="12.75" customHeight="1">
      <c r="A45" s="23"/>
      <c r="B45" s="1004" t="s">
        <v>443</v>
      </c>
      <c r="C45" s="632">
        <f>INDEX(AL15:AL19,AM15,1)</f>
        <v>6</v>
      </c>
      <c r="D45" s="990" t="s">
        <v>444</v>
      </c>
      <c r="E45" s="25"/>
      <c r="F45" s="25"/>
      <c r="G45" s="36"/>
      <c r="H45" s="25"/>
      <c r="I45" s="36"/>
      <c r="J45" s="36"/>
      <c r="K45" s="35"/>
      <c r="L45" s="23"/>
      <c r="M45" s="37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9" customFormat="1" ht="12.75" customHeight="1">
      <c r="A46" s="23"/>
      <c r="B46" s="109" t="s">
        <v>445</v>
      </c>
      <c r="C46"/>
      <c r="D46"/>
      <c r="E46" s="25"/>
      <c r="F46" s="25"/>
      <c r="G46" s="36"/>
      <c r="H46" s="25"/>
      <c r="I46" s="36"/>
      <c r="J46" s="36"/>
      <c r="K46" s="35"/>
      <c r="L46" s="23"/>
      <c r="M46" s="37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207" customFormat="1" ht="12.75" customHeight="1">
      <c r="A47" s="203"/>
      <c r="B47" s="903" t="s">
        <v>422</v>
      </c>
      <c r="C47" s="537" t="s">
        <v>446</v>
      </c>
      <c r="D47" s="205"/>
      <c r="E47" s="205"/>
      <c r="F47" s="205"/>
      <c r="G47" s="280"/>
      <c r="H47" s="205"/>
      <c r="I47" s="280"/>
      <c r="J47" s="280"/>
      <c r="K47" s="206"/>
      <c r="L47" s="203"/>
      <c r="M47" s="281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</row>
    <row r="48" spans="1:32" s="207" customFormat="1" ht="12.75" customHeight="1" thickBot="1">
      <c r="A48" s="203"/>
      <c r="B48" s="1015" t="s">
        <v>447</v>
      </c>
      <c r="C48" s="498">
        <v>10</v>
      </c>
      <c r="D48" s="109" t="s">
        <v>157</v>
      </c>
      <c r="E48" s="205"/>
      <c r="F48" s="205"/>
      <c r="G48" s="280"/>
      <c r="H48" s="205"/>
      <c r="I48" s="280"/>
      <c r="J48" s="280"/>
      <c r="K48" s="206"/>
      <c r="L48" s="203"/>
      <c r="M48" s="281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</row>
    <row r="49" spans="1:32" s="207" customFormat="1" ht="12.75" customHeight="1" thickBot="1">
      <c r="A49" s="602"/>
      <c r="B49" s="903" t="s">
        <v>422</v>
      </c>
      <c r="C49" s="1014">
        <f>((C17/10)^0.67)/C45</f>
        <v>0.21983728315944714</v>
      </c>
      <c r="D49" s="584" t="s">
        <v>448</v>
      </c>
      <c r="E49" s="979"/>
      <c r="F49" s="1095"/>
      <c r="G49" s="703"/>
      <c r="H49" s="1096"/>
      <c r="I49" s="1097"/>
      <c r="J49" s="1097"/>
      <c r="K49" s="956"/>
      <c r="L49" s="1098"/>
      <c r="M49" s="1099"/>
      <c r="N49" s="1098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</row>
    <row r="50" spans="1:14" s="207" customFormat="1" ht="12.75" customHeight="1">
      <c r="A50" s="501"/>
      <c r="B50"/>
      <c r="C50"/>
      <c r="D50"/>
      <c r="E50" s="698"/>
      <c r="F50" s="1096"/>
      <c r="G50" s="1097"/>
      <c r="H50" s="1096"/>
      <c r="I50" s="1097"/>
      <c r="J50" s="1097"/>
      <c r="K50" s="956"/>
      <c r="L50" s="1098"/>
      <c r="M50" s="1099"/>
      <c r="N50" s="1098"/>
    </row>
    <row r="51" spans="1:14" s="207" customFormat="1" ht="12.75" customHeight="1">
      <c r="A51" s="501"/>
      <c r="B51" s="885"/>
      <c r="C51" s="698"/>
      <c r="D51" s="698"/>
      <c r="E51" s="698"/>
      <c r="F51" s="1096"/>
      <c r="G51" s="1097"/>
      <c r="H51" s="1096"/>
      <c r="I51" s="1097"/>
      <c r="J51" s="1097"/>
      <c r="K51" s="956"/>
      <c r="L51" s="1098"/>
      <c r="M51" s="1099"/>
      <c r="N51" s="1098"/>
    </row>
    <row r="52" spans="1:14" s="207" customFormat="1" ht="12.75" customHeight="1">
      <c r="A52" s="501"/>
      <c r="B52" s="698"/>
      <c r="C52" s="698"/>
      <c r="D52" s="698"/>
      <c r="E52" s="698"/>
      <c r="F52" s="1096"/>
      <c r="G52" s="1097"/>
      <c r="H52" s="1096"/>
      <c r="I52" s="1097"/>
      <c r="J52" s="1097"/>
      <c r="K52" s="956"/>
      <c r="L52" s="1098"/>
      <c r="M52" s="1099"/>
      <c r="N52" s="1098"/>
    </row>
    <row r="53" spans="1:14" s="9" customFormat="1" ht="12.75" customHeight="1">
      <c r="A53" s="501"/>
      <c r="B53" s="698"/>
      <c r="C53" s="698"/>
      <c r="D53" s="698"/>
      <c r="E53" s="698"/>
      <c r="F53" s="1096"/>
      <c r="G53" s="1097"/>
      <c r="H53" s="1096"/>
      <c r="I53" s="1097"/>
      <c r="J53" s="1097"/>
      <c r="K53" s="956"/>
      <c r="L53" s="1098"/>
      <c r="M53" s="1099"/>
      <c r="N53" s="1098"/>
    </row>
    <row r="54" spans="1:14" s="9" customFormat="1" ht="12.75" customHeight="1">
      <c r="A54" s="501"/>
      <c r="B54" s="698"/>
      <c r="C54" s="698"/>
      <c r="D54" s="698"/>
      <c r="E54" s="698"/>
      <c r="F54" s="1096"/>
      <c r="G54" s="1097"/>
      <c r="H54" s="1096"/>
      <c r="I54" s="1097"/>
      <c r="J54" s="1097"/>
      <c r="K54" s="956"/>
      <c r="L54" s="1098"/>
      <c r="M54" s="1099"/>
      <c r="N54" s="1098"/>
    </row>
    <row r="55" spans="1:14" s="9" customFormat="1" ht="12.75" customHeight="1">
      <c r="A55" s="501"/>
      <c r="B55" s="698"/>
      <c r="C55" s="698"/>
      <c r="D55" s="698"/>
      <c r="E55" s="698"/>
      <c r="F55" s="698"/>
      <c r="G55" s="983"/>
      <c r="H55" s="698"/>
      <c r="I55" s="983"/>
      <c r="J55" s="983"/>
      <c r="K55" s="984"/>
      <c r="L55" s="501"/>
      <c r="M55" s="985"/>
      <c r="N55" s="501"/>
    </row>
    <row r="56" spans="2:13" s="9" customFormat="1" ht="12.75" customHeight="1">
      <c r="B56" s="12"/>
      <c r="C56" s="12"/>
      <c r="D56" s="12"/>
      <c r="E56" s="12"/>
      <c r="F56" s="12"/>
      <c r="G56" s="13"/>
      <c r="H56" s="12"/>
      <c r="I56" s="13"/>
      <c r="J56" s="13"/>
      <c r="K56" s="86"/>
      <c r="M56" s="11"/>
    </row>
    <row r="57" spans="2:13" s="9" customFormat="1" ht="12.75" customHeight="1">
      <c r="B57" s="12"/>
      <c r="C57" s="12"/>
      <c r="D57" s="12"/>
      <c r="E57" s="12"/>
      <c r="F57" s="12"/>
      <c r="G57" s="13"/>
      <c r="H57" s="12"/>
      <c r="I57" s="13"/>
      <c r="J57" s="13"/>
      <c r="K57" s="86"/>
      <c r="M57" s="11"/>
    </row>
    <row r="58" spans="2:13" s="9" customFormat="1" ht="12.75" customHeight="1">
      <c r="B58" s="12"/>
      <c r="C58" s="12"/>
      <c r="D58" s="12"/>
      <c r="E58" s="12"/>
      <c r="F58" s="12"/>
      <c r="G58" s="13"/>
      <c r="H58" s="12"/>
      <c r="I58" s="13"/>
      <c r="J58" s="13"/>
      <c r="K58" s="86"/>
      <c r="M58" s="11"/>
    </row>
    <row r="59" spans="2:13" s="9" customFormat="1" ht="12.75" customHeight="1">
      <c r="B59" s="12"/>
      <c r="C59" s="12"/>
      <c r="D59" s="12"/>
      <c r="E59" s="12"/>
      <c r="F59" s="12"/>
      <c r="G59" s="13"/>
      <c r="H59" s="12"/>
      <c r="I59" s="13"/>
      <c r="J59" s="13"/>
      <c r="K59" s="86"/>
      <c r="M59" s="11"/>
    </row>
    <row r="60" spans="2:13" s="9" customFormat="1" ht="12.75" customHeight="1">
      <c r="B60" s="12"/>
      <c r="C60" s="12"/>
      <c r="D60" s="12"/>
      <c r="E60" s="12"/>
      <c r="F60" s="12"/>
      <c r="G60" s="13"/>
      <c r="H60" s="12"/>
      <c r="I60" s="13"/>
      <c r="J60" s="13"/>
      <c r="K60" s="86"/>
      <c r="M60" s="11"/>
    </row>
    <row r="61" spans="2:13" s="9" customFormat="1" ht="12.75" customHeight="1">
      <c r="B61" s="12"/>
      <c r="C61" s="12"/>
      <c r="D61" s="12"/>
      <c r="E61" s="12"/>
      <c r="F61" s="12"/>
      <c r="G61" s="13"/>
      <c r="H61" s="12"/>
      <c r="I61" s="13"/>
      <c r="J61" s="13"/>
      <c r="K61" s="86"/>
      <c r="M61" s="11"/>
    </row>
    <row r="62" spans="2:13" s="9" customFormat="1" ht="12.75" customHeight="1">
      <c r="B62" s="12"/>
      <c r="C62" s="12"/>
      <c r="D62" s="12"/>
      <c r="E62" s="12"/>
      <c r="F62" s="12"/>
      <c r="G62" s="13"/>
      <c r="H62" s="12"/>
      <c r="I62" s="13"/>
      <c r="J62" s="13"/>
      <c r="K62" s="86"/>
      <c r="M62" s="11"/>
    </row>
    <row r="63" spans="2:13" s="9" customFormat="1" ht="12.75" customHeight="1">
      <c r="B63" s="12"/>
      <c r="C63" s="12"/>
      <c r="D63" s="12"/>
      <c r="E63" s="12"/>
      <c r="F63" s="12"/>
      <c r="G63" s="13"/>
      <c r="H63" s="12"/>
      <c r="I63" s="13"/>
      <c r="J63" s="13"/>
      <c r="K63" s="86"/>
      <c r="M63" s="11"/>
    </row>
    <row r="64" spans="2:13" s="9" customFormat="1" ht="12.75" customHeight="1">
      <c r="B64" s="12"/>
      <c r="C64" s="12"/>
      <c r="D64" s="12"/>
      <c r="E64" s="12"/>
      <c r="F64" s="12"/>
      <c r="G64" s="13"/>
      <c r="H64" s="12"/>
      <c r="I64" s="13"/>
      <c r="J64" s="13"/>
      <c r="K64" s="86"/>
      <c r="M64" s="11"/>
    </row>
    <row r="65" spans="2:13" s="9" customFormat="1" ht="12.75" customHeight="1">
      <c r="B65" s="12"/>
      <c r="C65" s="12"/>
      <c r="D65" s="12"/>
      <c r="E65" s="12"/>
      <c r="F65" s="12"/>
      <c r="G65" s="13"/>
      <c r="H65" s="12"/>
      <c r="I65" s="13"/>
      <c r="J65" s="13"/>
      <c r="K65" s="86"/>
      <c r="M65" s="11"/>
    </row>
    <row r="66" spans="2:13" s="9" customFormat="1" ht="12.75" customHeight="1">
      <c r="B66" s="12"/>
      <c r="C66" s="12"/>
      <c r="D66" s="12"/>
      <c r="E66" s="12"/>
      <c r="F66" s="12"/>
      <c r="G66" s="13"/>
      <c r="H66" s="12"/>
      <c r="I66" s="13"/>
      <c r="J66" s="13"/>
      <c r="K66" s="86"/>
      <c r="M66" s="11"/>
    </row>
    <row r="67" spans="2:13" s="9" customFormat="1" ht="12.75" customHeight="1">
      <c r="B67" s="12"/>
      <c r="C67" s="12"/>
      <c r="D67" s="12"/>
      <c r="E67" s="12"/>
      <c r="F67" s="12"/>
      <c r="G67" s="13"/>
      <c r="H67" s="12"/>
      <c r="I67" s="13"/>
      <c r="J67" s="13"/>
      <c r="K67" s="86"/>
      <c r="M67" s="11"/>
    </row>
    <row r="68" spans="2:13" s="9" customFormat="1" ht="12.75" customHeight="1">
      <c r="B68" s="12"/>
      <c r="C68" s="12"/>
      <c r="D68" s="12"/>
      <c r="E68" s="12"/>
      <c r="F68" s="12"/>
      <c r="G68" s="13"/>
      <c r="H68" s="12"/>
      <c r="I68" s="13"/>
      <c r="J68" s="13"/>
      <c r="K68" s="86"/>
      <c r="M68" s="11"/>
    </row>
    <row r="69" spans="2:13" s="9" customFormat="1" ht="12.75" customHeight="1">
      <c r="B69" s="12"/>
      <c r="C69" s="12"/>
      <c r="D69" s="12"/>
      <c r="E69" s="12"/>
      <c r="F69" s="12"/>
      <c r="G69" s="13"/>
      <c r="H69" s="12"/>
      <c r="I69" s="13"/>
      <c r="J69" s="13"/>
      <c r="K69" s="86"/>
      <c r="M69" s="11"/>
    </row>
    <row r="70" spans="2:13" s="9" customFormat="1" ht="12.75" customHeight="1">
      <c r="B70" s="12"/>
      <c r="C70" s="12"/>
      <c r="D70" s="12"/>
      <c r="E70" s="12"/>
      <c r="F70" s="12"/>
      <c r="G70" s="13"/>
      <c r="H70" s="12"/>
      <c r="I70" s="13"/>
      <c r="J70" s="13"/>
      <c r="K70" s="86"/>
      <c r="M70" s="11"/>
    </row>
    <row r="71" spans="2:13" s="9" customFormat="1" ht="12.75" customHeight="1">
      <c r="B71" s="12"/>
      <c r="C71" s="12"/>
      <c r="D71" s="12"/>
      <c r="E71" s="12"/>
      <c r="F71" s="12"/>
      <c r="G71" s="13"/>
      <c r="H71" s="12"/>
      <c r="I71" s="13"/>
      <c r="J71" s="13"/>
      <c r="K71" s="86"/>
      <c r="M71" s="11"/>
    </row>
    <row r="72" spans="2:13" s="9" customFormat="1" ht="12.75" customHeight="1">
      <c r="B72" s="12"/>
      <c r="C72" s="12"/>
      <c r="D72" s="12"/>
      <c r="E72" s="12"/>
      <c r="F72" s="12"/>
      <c r="G72" s="13"/>
      <c r="H72" s="12"/>
      <c r="I72" s="13"/>
      <c r="J72" s="13"/>
      <c r="K72" s="86"/>
      <c r="M72" s="11"/>
    </row>
    <row r="73" spans="2:13" s="9" customFormat="1" ht="12.75" customHeight="1">
      <c r="B73" s="12"/>
      <c r="C73" s="12"/>
      <c r="D73" s="12"/>
      <c r="E73" s="12"/>
      <c r="F73" s="12"/>
      <c r="G73" s="13"/>
      <c r="H73" s="12"/>
      <c r="I73" s="13"/>
      <c r="J73" s="13"/>
      <c r="K73" s="86"/>
      <c r="M73" s="11"/>
    </row>
    <row r="74" spans="2:13" s="9" customFormat="1" ht="12.75" customHeight="1">
      <c r="B74" s="12"/>
      <c r="C74" s="12"/>
      <c r="D74" s="12"/>
      <c r="E74" s="12"/>
      <c r="F74" s="12"/>
      <c r="G74" s="13"/>
      <c r="H74" s="12"/>
      <c r="I74" s="13"/>
      <c r="J74" s="13"/>
      <c r="K74" s="86"/>
      <c r="M74" s="11"/>
    </row>
    <row r="75" spans="2:13" s="9" customFormat="1" ht="12.75" customHeight="1">
      <c r="B75" s="12"/>
      <c r="C75" s="12"/>
      <c r="D75" s="12"/>
      <c r="E75" s="12"/>
      <c r="F75" s="12"/>
      <c r="G75" s="13"/>
      <c r="H75" s="12"/>
      <c r="I75" s="13"/>
      <c r="J75" s="13"/>
      <c r="K75" s="86"/>
      <c r="M75" s="11"/>
    </row>
    <row r="76" spans="2:13" s="9" customFormat="1" ht="12.75" customHeight="1">
      <c r="B76" s="12"/>
      <c r="C76" s="12"/>
      <c r="D76" s="12"/>
      <c r="E76" s="12"/>
      <c r="F76" s="12"/>
      <c r="G76" s="13"/>
      <c r="H76" s="12"/>
      <c r="I76" s="13"/>
      <c r="J76" s="13"/>
      <c r="K76" s="86"/>
      <c r="M76" s="11"/>
    </row>
    <row r="77" spans="2:13" s="9" customFormat="1" ht="12.75" customHeight="1">
      <c r="B77" s="12"/>
      <c r="C77" s="12"/>
      <c r="D77" s="12"/>
      <c r="E77" s="12"/>
      <c r="F77" s="12"/>
      <c r="G77" s="13"/>
      <c r="H77" s="12"/>
      <c r="I77" s="13"/>
      <c r="J77" s="13"/>
      <c r="K77" s="86"/>
      <c r="M77" s="11"/>
    </row>
    <row r="78" spans="2:13" s="9" customFormat="1" ht="12.75" customHeight="1">
      <c r="B78" s="12"/>
      <c r="C78" s="12"/>
      <c r="D78" s="12"/>
      <c r="E78" s="12"/>
      <c r="F78" s="12"/>
      <c r="G78" s="13"/>
      <c r="H78" s="12"/>
      <c r="I78" s="13"/>
      <c r="J78" s="13"/>
      <c r="K78" s="86"/>
      <c r="M78" s="11"/>
    </row>
    <row r="79" spans="7:13" s="9" customFormat="1" ht="12.75" customHeight="1">
      <c r="G79" s="10"/>
      <c r="I79" s="10"/>
      <c r="J79" s="10"/>
      <c r="K79" s="86"/>
      <c r="M79" s="11"/>
    </row>
    <row r="80" spans="7:13" s="9" customFormat="1" ht="12.75" customHeight="1">
      <c r="G80" s="10"/>
      <c r="I80" s="10"/>
      <c r="J80" s="10"/>
      <c r="K80" s="86"/>
      <c r="M80" s="11"/>
    </row>
    <row r="81" spans="7:13" s="9" customFormat="1" ht="12.75" customHeight="1">
      <c r="G81" s="10"/>
      <c r="I81" s="10"/>
      <c r="J81" s="10"/>
      <c r="K81" s="86"/>
      <c r="M81" s="11"/>
    </row>
    <row r="82" spans="7:13" s="9" customFormat="1" ht="12.75" customHeight="1">
      <c r="G82" s="10"/>
      <c r="I82" s="10"/>
      <c r="J82" s="10"/>
      <c r="K82" s="86"/>
      <c r="M82" s="11"/>
    </row>
    <row r="83" spans="7:13" s="9" customFormat="1" ht="12.75" customHeight="1">
      <c r="G83" s="10"/>
      <c r="I83" s="10"/>
      <c r="J83" s="10"/>
      <c r="K83" s="86"/>
      <c r="M83" s="11"/>
    </row>
    <row r="84" spans="7:13" s="9" customFormat="1" ht="12.75" customHeight="1">
      <c r="G84" s="10"/>
      <c r="I84" s="10"/>
      <c r="J84" s="10"/>
      <c r="K84" s="86"/>
      <c r="M84" s="11"/>
    </row>
    <row r="85" spans="7:13" s="9" customFormat="1" ht="12.75" customHeight="1">
      <c r="G85" s="10"/>
      <c r="I85" s="10"/>
      <c r="J85" s="10"/>
      <c r="K85" s="86"/>
      <c r="M85" s="11"/>
    </row>
    <row r="86" spans="7:13" s="9" customFormat="1" ht="12.75" customHeight="1">
      <c r="G86" s="10"/>
      <c r="I86" s="10"/>
      <c r="J86" s="10"/>
      <c r="K86" s="86"/>
      <c r="M86" s="11"/>
    </row>
    <row r="87" spans="7:13" s="9" customFormat="1" ht="12.75" customHeight="1">
      <c r="G87" s="10"/>
      <c r="I87" s="10"/>
      <c r="J87" s="10"/>
      <c r="K87" s="86"/>
      <c r="M87" s="11"/>
    </row>
    <row r="88" spans="7:13" s="9" customFormat="1" ht="12.75" customHeight="1">
      <c r="G88" s="10"/>
      <c r="I88" s="10"/>
      <c r="J88" s="10"/>
      <c r="K88" s="86"/>
      <c r="M88" s="11"/>
    </row>
    <row r="89" spans="7:13" s="9" customFormat="1" ht="12.75" customHeight="1">
      <c r="G89" s="10"/>
      <c r="I89" s="10"/>
      <c r="J89" s="10"/>
      <c r="K89" s="86"/>
      <c r="M89" s="11"/>
    </row>
    <row r="90" spans="7:13" s="9" customFormat="1" ht="12.75" customHeight="1">
      <c r="G90" s="10"/>
      <c r="I90" s="10"/>
      <c r="J90" s="10"/>
      <c r="K90" s="86"/>
      <c r="M90" s="11"/>
    </row>
    <row r="91" spans="7:13" s="9" customFormat="1" ht="12.75" customHeight="1">
      <c r="G91" s="10"/>
      <c r="I91" s="10"/>
      <c r="J91" s="10"/>
      <c r="K91" s="86"/>
      <c r="M91" s="11"/>
    </row>
    <row r="92" spans="7:13" s="9" customFormat="1" ht="12.75" customHeight="1">
      <c r="G92" s="10"/>
      <c r="I92" s="10"/>
      <c r="J92" s="10"/>
      <c r="K92" s="86"/>
      <c r="M92" s="11"/>
    </row>
    <row r="93" spans="7:13" s="9" customFormat="1" ht="12.75" customHeight="1">
      <c r="G93" s="10"/>
      <c r="I93" s="10"/>
      <c r="J93" s="10"/>
      <c r="K93" s="86"/>
      <c r="M93" s="11"/>
    </row>
    <row r="94" spans="7:13" s="9" customFormat="1" ht="12.75" customHeight="1">
      <c r="G94" s="10"/>
      <c r="I94" s="10"/>
      <c r="J94" s="10"/>
      <c r="K94" s="86"/>
      <c r="M94" s="11"/>
    </row>
    <row r="95" spans="7:13" s="9" customFormat="1" ht="12.75" customHeight="1">
      <c r="G95" s="10"/>
      <c r="I95" s="10"/>
      <c r="J95" s="10"/>
      <c r="K95" s="86"/>
      <c r="M95" s="11"/>
    </row>
    <row r="96" spans="7:13" s="9" customFormat="1" ht="12.75" customHeight="1">
      <c r="G96" s="10"/>
      <c r="I96" s="10"/>
      <c r="J96" s="10"/>
      <c r="K96" s="86"/>
      <c r="M96" s="11"/>
    </row>
    <row r="97" spans="7:13" s="9" customFormat="1" ht="12.75" customHeight="1">
      <c r="G97" s="10"/>
      <c r="I97" s="10"/>
      <c r="J97" s="10"/>
      <c r="K97" s="86"/>
      <c r="M97" s="11"/>
    </row>
    <row r="98" spans="7:13" s="9" customFormat="1" ht="12.75" customHeight="1">
      <c r="G98" s="10"/>
      <c r="I98" s="10"/>
      <c r="J98" s="10"/>
      <c r="K98" s="86"/>
      <c r="M98" s="11"/>
    </row>
    <row r="99" spans="7:13" s="9" customFormat="1" ht="12.75" customHeight="1">
      <c r="G99" s="10"/>
      <c r="I99" s="10"/>
      <c r="J99" s="10"/>
      <c r="K99" s="86"/>
      <c r="M99" s="11"/>
    </row>
    <row r="100" spans="7:13" s="9" customFormat="1" ht="12.75" customHeight="1">
      <c r="G100" s="10"/>
      <c r="I100" s="10"/>
      <c r="J100" s="10"/>
      <c r="K100" s="86"/>
      <c r="M100" s="11"/>
    </row>
    <row r="101" spans="7:13" s="9" customFormat="1" ht="12.75" customHeight="1">
      <c r="G101" s="10"/>
      <c r="I101" s="10"/>
      <c r="J101" s="10"/>
      <c r="K101" s="86"/>
      <c r="M101" s="11"/>
    </row>
    <row r="102" spans="7:13" s="9" customFormat="1" ht="12.75" customHeight="1">
      <c r="G102" s="10"/>
      <c r="I102" s="10"/>
      <c r="J102" s="10"/>
      <c r="K102" s="86"/>
      <c r="M102" s="11"/>
    </row>
    <row r="103" spans="7:13" s="9" customFormat="1" ht="12.75" customHeight="1">
      <c r="G103" s="10"/>
      <c r="I103" s="10"/>
      <c r="J103" s="10"/>
      <c r="K103" s="86"/>
      <c r="M103" s="11"/>
    </row>
    <row r="104" spans="7:13" s="9" customFormat="1" ht="12.75" customHeight="1">
      <c r="G104" s="10"/>
      <c r="I104" s="10"/>
      <c r="J104" s="10"/>
      <c r="K104" s="86"/>
      <c r="M104" s="11"/>
    </row>
    <row r="105" spans="7:13" s="9" customFormat="1" ht="12.75" customHeight="1">
      <c r="G105" s="10"/>
      <c r="I105" s="10"/>
      <c r="J105" s="10"/>
      <c r="K105" s="86"/>
      <c r="M105" s="11"/>
    </row>
    <row r="106" spans="7:13" s="9" customFormat="1" ht="12.75" customHeight="1">
      <c r="G106" s="10"/>
      <c r="I106" s="10"/>
      <c r="J106" s="10"/>
      <c r="K106" s="86"/>
      <c r="M106" s="11"/>
    </row>
    <row r="107" spans="7:13" s="9" customFormat="1" ht="12.75" customHeight="1">
      <c r="G107" s="10"/>
      <c r="I107" s="10"/>
      <c r="J107" s="10"/>
      <c r="K107" s="86"/>
      <c r="M107" s="11"/>
    </row>
    <row r="108" spans="7:13" s="9" customFormat="1" ht="12.75" customHeight="1">
      <c r="G108" s="10"/>
      <c r="I108" s="10"/>
      <c r="J108" s="10"/>
      <c r="K108" s="86"/>
      <c r="M108" s="11"/>
    </row>
    <row r="109" spans="7:13" s="9" customFormat="1" ht="12.75" customHeight="1">
      <c r="G109" s="10"/>
      <c r="I109" s="10"/>
      <c r="J109" s="10"/>
      <c r="K109" s="86"/>
      <c r="M109" s="11"/>
    </row>
    <row r="110" spans="7:13" s="9" customFormat="1" ht="12.75" customHeight="1">
      <c r="G110" s="10"/>
      <c r="I110" s="10"/>
      <c r="J110" s="10"/>
      <c r="K110" s="86"/>
      <c r="M110" s="11"/>
    </row>
    <row r="111" spans="7:13" s="9" customFormat="1" ht="12.75" customHeight="1">
      <c r="G111" s="10"/>
      <c r="I111" s="10"/>
      <c r="J111" s="10"/>
      <c r="K111" s="86"/>
      <c r="M111" s="11"/>
    </row>
    <row r="112" spans="7:13" s="9" customFormat="1" ht="12.75" customHeight="1">
      <c r="G112" s="10"/>
      <c r="I112" s="10"/>
      <c r="J112" s="10"/>
      <c r="K112" s="86"/>
      <c r="M112" s="11"/>
    </row>
    <row r="113" spans="7:13" s="9" customFormat="1" ht="12.75" customHeight="1">
      <c r="G113" s="10"/>
      <c r="I113" s="10"/>
      <c r="J113" s="10"/>
      <c r="K113" s="86"/>
      <c r="M113" s="11"/>
    </row>
    <row r="114" spans="7:13" s="9" customFormat="1" ht="12.75" customHeight="1">
      <c r="G114" s="10"/>
      <c r="I114" s="10"/>
      <c r="J114" s="10"/>
      <c r="K114" s="86"/>
      <c r="M114" s="11"/>
    </row>
    <row r="115" spans="7:13" s="9" customFormat="1" ht="12.75" customHeight="1">
      <c r="G115" s="10"/>
      <c r="I115" s="10"/>
      <c r="J115" s="10"/>
      <c r="K115" s="86"/>
      <c r="M115" s="11"/>
    </row>
    <row r="116" spans="7:13" s="9" customFormat="1" ht="12.75" customHeight="1">
      <c r="G116" s="10"/>
      <c r="I116" s="10"/>
      <c r="J116" s="10"/>
      <c r="K116" s="86"/>
      <c r="M116" s="11"/>
    </row>
    <row r="117" spans="7:13" s="9" customFormat="1" ht="12.75" customHeight="1">
      <c r="G117" s="10"/>
      <c r="I117" s="10"/>
      <c r="J117" s="10"/>
      <c r="K117" s="86"/>
      <c r="M117" s="11"/>
    </row>
    <row r="118" spans="7:13" s="9" customFormat="1" ht="12.75" customHeight="1">
      <c r="G118" s="10"/>
      <c r="I118" s="10"/>
      <c r="J118" s="10"/>
      <c r="K118" s="86"/>
      <c r="M118" s="11"/>
    </row>
    <row r="119" spans="7:13" s="9" customFormat="1" ht="12.75" customHeight="1">
      <c r="G119" s="10"/>
      <c r="I119" s="10"/>
      <c r="J119" s="10"/>
      <c r="K119" s="86"/>
      <c r="M119" s="11"/>
    </row>
    <row r="120" spans="7:13" s="9" customFormat="1" ht="12.75" customHeight="1">
      <c r="G120" s="10"/>
      <c r="I120" s="10"/>
      <c r="J120" s="10"/>
      <c r="K120" s="86"/>
      <c r="M120" s="11"/>
    </row>
    <row r="121" spans="7:13" s="9" customFormat="1" ht="12.75" customHeight="1">
      <c r="G121" s="10"/>
      <c r="I121" s="10"/>
      <c r="J121" s="10"/>
      <c r="K121" s="86"/>
      <c r="M121" s="11"/>
    </row>
    <row r="122" spans="7:13" s="9" customFormat="1" ht="12.75" customHeight="1">
      <c r="G122" s="10"/>
      <c r="I122" s="10"/>
      <c r="J122" s="10"/>
      <c r="K122" s="86"/>
      <c r="M122" s="11"/>
    </row>
    <row r="123" spans="7:13" s="9" customFormat="1" ht="12.75" customHeight="1">
      <c r="G123" s="10"/>
      <c r="I123" s="10"/>
      <c r="J123" s="10"/>
      <c r="K123" s="86"/>
      <c r="M123" s="11"/>
    </row>
    <row r="124" spans="7:13" s="9" customFormat="1" ht="12.75" customHeight="1">
      <c r="G124" s="10"/>
      <c r="I124" s="10"/>
      <c r="J124" s="10"/>
      <c r="K124" s="86"/>
      <c r="M124" s="11"/>
    </row>
    <row r="125" spans="7:13" s="9" customFormat="1" ht="12.75" customHeight="1">
      <c r="G125" s="10"/>
      <c r="I125" s="10"/>
      <c r="J125" s="10"/>
      <c r="K125" s="86"/>
      <c r="M125" s="11"/>
    </row>
    <row r="126" spans="7:13" s="9" customFormat="1" ht="12.75" customHeight="1">
      <c r="G126" s="10"/>
      <c r="I126" s="10"/>
      <c r="J126" s="10"/>
      <c r="K126" s="86"/>
      <c r="M126" s="11"/>
    </row>
    <row r="127" spans="7:13" s="9" customFormat="1" ht="12.75" customHeight="1">
      <c r="G127" s="10"/>
      <c r="I127" s="10"/>
      <c r="J127" s="10"/>
      <c r="K127" s="86"/>
      <c r="M127" s="11"/>
    </row>
    <row r="128" spans="7:13" s="9" customFormat="1" ht="12.75" customHeight="1">
      <c r="G128" s="10"/>
      <c r="I128" s="10"/>
      <c r="J128" s="10"/>
      <c r="K128" s="86"/>
      <c r="M128" s="11"/>
    </row>
    <row r="129" spans="7:13" s="9" customFormat="1" ht="12.75" customHeight="1">
      <c r="G129" s="10"/>
      <c r="I129" s="10"/>
      <c r="J129" s="10"/>
      <c r="K129" s="86"/>
      <c r="M129" s="11"/>
    </row>
    <row r="130" spans="7:13" s="9" customFormat="1" ht="12.75" customHeight="1">
      <c r="G130" s="10"/>
      <c r="I130" s="10"/>
      <c r="J130" s="10"/>
      <c r="K130" s="86"/>
      <c r="M130" s="11"/>
    </row>
    <row r="131" spans="7:13" s="9" customFormat="1" ht="12.75" customHeight="1">
      <c r="G131" s="10"/>
      <c r="I131" s="10"/>
      <c r="J131" s="10"/>
      <c r="K131" s="86"/>
      <c r="M131" s="11"/>
    </row>
    <row r="132" spans="7:13" s="9" customFormat="1" ht="12.75" customHeight="1">
      <c r="G132" s="10"/>
      <c r="I132" s="10"/>
      <c r="J132" s="10"/>
      <c r="K132" s="86"/>
      <c r="M132" s="11"/>
    </row>
    <row r="133" spans="7:13" s="9" customFormat="1" ht="12.75" customHeight="1">
      <c r="G133" s="10"/>
      <c r="I133" s="10"/>
      <c r="J133" s="10"/>
      <c r="K133" s="86"/>
      <c r="M133" s="11"/>
    </row>
    <row r="134" spans="7:13" s="9" customFormat="1" ht="12.75" customHeight="1">
      <c r="G134" s="10"/>
      <c r="I134" s="10"/>
      <c r="J134" s="10"/>
      <c r="K134" s="86"/>
      <c r="M134" s="11"/>
    </row>
    <row r="135" spans="7:13" s="9" customFormat="1" ht="12.75" customHeight="1">
      <c r="G135" s="10"/>
      <c r="I135" s="10"/>
      <c r="J135" s="10"/>
      <c r="K135" s="86"/>
      <c r="M135" s="11"/>
    </row>
    <row r="136" spans="7:13" s="9" customFormat="1" ht="12.75" customHeight="1">
      <c r="G136" s="10"/>
      <c r="I136" s="10"/>
      <c r="J136" s="10"/>
      <c r="K136" s="86"/>
      <c r="M136" s="11"/>
    </row>
    <row r="137" spans="7:13" s="9" customFormat="1" ht="12.75" customHeight="1">
      <c r="G137" s="10"/>
      <c r="I137" s="10"/>
      <c r="J137" s="10"/>
      <c r="K137" s="86"/>
      <c r="M137" s="11"/>
    </row>
    <row r="138" spans="7:13" s="9" customFormat="1" ht="12.75" customHeight="1">
      <c r="G138" s="10"/>
      <c r="I138" s="10"/>
      <c r="J138" s="10"/>
      <c r="K138" s="86"/>
      <c r="M138" s="11"/>
    </row>
    <row r="139" spans="7:13" s="9" customFormat="1" ht="12.75" customHeight="1">
      <c r="G139" s="10"/>
      <c r="I139" s="10"/>
      <c r="J139" s="10"/>
      <c r="K139" s="86"/>
      <c r="M139" s="11"/>
    </row>
    <row r="140" spans="7:13" s="9" customFormat="1" ht="12.75" customHeight="1">
      <c r="G140" s="10"/>
      <c r="I140" s="10"/>
      <c r="J140" s="10"/>
      <c r="K140" s="86"/>
      <c r="M140" s="11"/>
    </row>
    <row r="141" spans="7:13" s="9" customFormat="1" ht="12.75" customHeight="1">
      <c r="G141" s="10"/>
      <c r="I141" s="10"/>
      <c r="J141" s="10"/>
      <c r="K141" s="86"/>
      <c r="M141" s="11"/>
    </row>
    <row r="142" spans="7:13" s="9" customFormat="1" ht="12.75" customHeight="1">
      <c r="G142" s="10"/>
      <c r="I142" s="10"/>
      <c r="J142" s="10"/>
      <c r="K142" s="86"/>
      <c r="M142" s="11"/>
    </row>
    <row r="143" spans="7:13" s="9" customFormat="1" ht="12.75" customHeight="1">
      <c r="G143" s="10"/>
      <c r="I143" s="10"/>
      <c r="J143" s="10"/>
      <c r="K143" s="86"/>
      <c r="M143" s="11"/>
    </row>
    <row r="144" spans="7:13" s="9" customFormat="1" ht="12.75" customHeight="1">
      <c r="G144" s="10"/>
      <c r="I144" s="10"/>
      <c r="J144" s="10"/>
      <c r="K144" s="86"/>
      <c r="M144" s="11"/>
    </row>
    <row r="145" spans="7:13" s="9" customFormat="1" ht="12.75" customHeight="1">
      <c r="G145" s="10"/>
      <c r="I145" s="10"/>
      <c r="J145" s="10"/>
      <c r="K145" s="86"/>
      <c r="M145" s="11"/>
    </row>
    <row r="146" spans="7:13" s="9" customFormat="1" ht="12.75" customHeight="1">
      <c r="G146" s="10"/>
      <c r="I146" s="10"/>
      <c r="J146" s="10"/>
      <c r="K146" s="86"/>
      <c r="M146" s="11"/>
    </row>
    <row r="147" spans="7:13" s="9" customFormat="1" ht="12.75" customHeight="1">
      <c r="G147" s="10"/>
      <c r="I147" s="10"/>
      <c r="J147" s="10"/>
      <c r="K147" s="86"/>
      <c r="M147" s="11"/>
    </row>
    <row r="148" spans="7:13" s="9" customFormat="1" ht="12.75" customHeight="1">
      <c r="G148" s="10"/>
      <c r="I148" s="10"/>
      <c r="J148" s="10"/>
      <c r="K148" s="86"/>
      <c r="M148" s="11"/>
    </row>
    <row r="149" spans="7:13" s="9" customFormat="1" ht="12.75" customHeight="1">
      <c r="G149" s="10"/>
      <c r="I149" s="10"/>
      <c r="J149" s="10"/>
      <c r="K149" s="86"/>
      <c r="M149" s="11"/>
    </row>
    <row r="150" spans="7:13" s="9" customFormat="1" ht="12.75" customHeight="1">
      <c r="G150" s="10"/>
      <c r="I150" s="10"/>
      <c r="J150" s="10"/>
      <c r="K150" s="86"/>
      <c r="M150" s="11"/>
    </row>
    <row r="151" spans="7:13" s="9" customFormat="1" ht="12.75" customHeight="1">
      <c r="G151" s="10"/>
      <c r="I151" s="10"/>
      <c r="J151" s="10"/>
      <c r="K151" s="86"/>
      <c r="M151" s="11"/>
    </row>
    <row r="152" spans="7:13" s="9" customFormat="1" ht="12.75" customHeight="1">
      <c r="G152" s="10"/>
      <c r="I152" s="10"/>
      <c r="J152" s="10"/>
      <c r="K152" s="86"/>
      <c r="M152" s="11"/>
    </row>
    <row r="153" spans="7:13" s="9" customFormat="1" ht="12.75" customHeight="1">
      <c r="G153" s="10"/>
      <c r="I153" s="10"/>
      <c r="J153" s="10"/>
      <c r="K153" s="86"/>
      <c r="M153" s="11"/>
    </row>
    <row r="154" spans="7:13" s="9" customFormat="1" ht="12.75" customHeight="1">
      <c r="G154" s="10"/>
      <c r="I154" s="10"/>
      <c r="J154" s="10"/>
      <c r="K154" s="86"/>
      <c r="M154" s="11"/>
    </row>
    <row r="155" spans="7:13" s="9" customFormat="1" ht="12.75" customHeight="1">
      <c r="G155" s="10"/>
      <c r="I155" s="10"/>
      <c r="J155" s="10"/>
      <c r="K155" s="86"/>
      <c r="M155" s="11"/>
    </row>
    <row r="156" spans="7:13" s="9" customFormat="1" ht="12.75" customHeight="1">
      <c r="G156" s="10"/>
      <c r="I156" s="10"/>
      <c r="J156" s="10"/>
      <c r="K156" s="86"/>
      <c r="M156" s="11"/>
    </row>
    <row r="157" spans="7:13" s="9" customFormat="1" ht="12.75" customHeight="1">
      <c r="G157" s="10"/>
      <c r="I157" s="10"/>
      <c r="J157" s="10"/>
      <c r="K157" s="86"/>
      <c r="M157" s="11"/>
    </row>
    <row r="158" spans="7:13" s="9" customFormat="1" ht="12.75" customHeight="1">
      <c r="G158" s="10"/>
      <c r="I158" s="10"/>
      <c r="J158" s="10"/>
      <c r="K158" s="86"/>
      <c r="M158" s="11"/>
    </row>
    <row r="159" spans="7:13" s="9" customFormat="1" ht="12.75" customHeight="1">
      <c r="G159" s="10"/>
      <c r="I159" s="10"/>
      <c r="J159" s="10"/>
      <c r="K159" s="86"/>
      <c r="M159" s="11"/>
    </row>
    <row r="160" spans="7:13" s="9" customFormat="1" ht="12.75" customHeight="1">
      <c r="G160" s="10"/>
      <c r="I160" s="10"/>
      <c r="J160" s="10"/>
      <c r="K160" s="86"/>
      <c r="M160" s="11"/>
    </row>
    <row r="161" spans="7:13" s="9" customFormat="1" ht="12.75" customHeight="1">
      <c r="G161" s="10"/>
      <c r="I161" s="10"/>
      <c r="J161" s="10"/>
      <c r="K161" s="86"/>
      <c r="M161" s="11"/>
    </row>
    <row r="162" spans="7:13" s="9" customFormat="1" ht="12.75" customHeight="1">
      <c r="G162" s="10"/>
      <c r="I162" s="10"/>
      <c r="J162" s="10"/>
      <c r="K162" s="86"/>
      <c r="M162" s="11"/>
    </row>
    <row r="163" spans="7:13" s="9" customFormat="1" ht="12.75" customHeight="1">
      <c r="G163" s="10"/>
      <c r="I163" s="10"/>
      <c r="J163" s="10"/>
      <c r="K163" s="86"/>
      <c r="M163" s="11"/>
    </row>
    <row r="164" spans="7:13" s="9" customFormat="1" ht="12.75" customHeight="1">
      <c r="G164" s="10"/>
      <c r="I164" s="10"/>
      <c r="J164" s="10"/>
      <c r="K164" s="86"/>
      <c r="M164" s="11"/>
    </row>
    <row r="165" spans="7:13" s="9" customFormat="1" ht="12.75" customHeight="1">
      <c r="G165" s="10"/>
      <c r="I165" s="10"/>
      <c r="J165" s="10"/>
      <c r="K165" s="86"/>
      <c r="M165" s="11"/>
    </row>
    <row r="166" spans="7:13" s="9" customFormat="1" ht="12.75" customHeight="1">
      <c r="G166" s="10"/>
      <c r="I166" s="10"/>
      <c r="J166" s="10"/>
      <c r="K166" s="86"/>
      <c r="M166" s="11"/>
    </row>
    <row r="167" spans="7:13" s="9" customFormat="1" ht="12.75" customHeight="1">
      <c r="G167" s="10"/>
      <c r="I167" s="10"/>
      <c r="J167" s="10"/>
      <c r="K167" s="86"/>
      <c r="M167" s="11"/>
    </row>
    <row r="168" spans="7:13" s="9" customFormat="1" ht="12.75" customHeight="1">
      <c r="G168" s="10"/>
      <c r="I168" s="10"/>
      <c r="J168" s="10"/>
      <c r="K168" s="86"/>
      <c r="M168" s="11"/>
    </row>
    <row r="169" spans="7:13" s="9" customFormat="1" ht="12.75" customHeight="1">
      <c r="G169" s="10"/>
      <c r="I169" s="10"/>
      <c r="J169" s="10"/>
      <c r="K169" s="86"/>
      <c r="M169" s="11"/>
    </row>
    <row r="170" spans="7:13" s="9" customFormat="1" ht="12.75" customHeight="1">
      <c r="G170" s="10"/>
      <c r="I170" s="10"/>
      <c r="J170" s="10"/>
      <c r="K170" s="86"/>
      <c r="M170" s="11"/>
    </row>
    <row r="171" spans="7:13" s="9" customFormat="1" ht="12.75" customHeight="1">
      <c r="G171" s="10"/>
      <c r="I171" s="10"/>
      <c r="J171" s="10"/>
      <c r="K171" s="86"/>
      <c r="M171" s="11"/>
    </row>
    <row r="172" spans="7:13" s="9" customFormat="1" ht="12.75" customHeight="1">
      <c r="G172" s="10"/>
      <c r="I172" s="10"/>
      <c r="J172" s="10"/>
      <c r="K172" s="86"/>
      <c r="M172" s="11"/>
    </row>
    <row r="173" spans="7:13" s="9" customFormat="1" ht="12.75" customHeight="1">
      <c r="G173" s="10"/>
      <c r="I173" s="10"/>
      <c r="J173" s="10"/>
      <c r="K173" s="86"/>
      <c r="M173" s="11"/>
    </row>
    <row r="174" spans="7:13" s="9" customFormat="1" ht="12.75" customHeight="1">
      <c r="G174" s="10"/>
      <c r="I174" s="10"/>
      <c r="J174" s="10"/>
      <c r="K174" s="86"/>
      <c r="M174" s="11"/>
    </row>
    <row r="175" spans="7:13" s="9" customFormat="1" ht="12.75" customHeight="1">
      <c r="G175" s="10"/>
      <c r="I175" s="10"/>
      <c r="J175" s="10"/>
      <c r="K175" s="86"/>
      <c r="M175" s="11"/>
    </row>
    <row r="176" spans="7:13" s="9" customFormat="1" ht="12.75" customHeight="1">
      <c r="G176" s="10"/>
      <c r="I176" s="10"/>
      <c r="J176" s="10"/>
      <c r="K176" s="86"/>
      <c r="M176" s="11"/>
    </row>
    <row r="177" spans="7:13" s="9" customFormat="1" ht="12.75" customHeight="1">
      <c r="G177" s="10"/>
      <c r="I177" s="10"/>
      <c r="J177" s="10"/>
      <c r="K177" s="86"/>
      <c r="M177" s="11"/>
    </row>
    <row r="178" spans="7:13" s="9" customFormat="1" ht="12.75" customHeight="1">
      <c r="G178" s="10"/>
      <c r="I178" s="10"/>
      <c r="J178" s="10"/>
      <c r="K178" s="86"/>
      <c r="M178" s="11"/>
    </row>
    <row r="179" spans="7:13" s="9" customFormat="1" ht="12.75" customHeight="1">
      <c r="G179" s="10"/>
      <c r="I179" s="10"/>
      <c r="J179" s="10"/>
      <c r="K179" s="86"/>
      <c r="M179" s="11"/>
    </row>
    <row r="180" spans="7:13" s="9" customFormat="1" ht="12.75" customHeight="1">
      <c r="G180" s="10"/>
      <c r="I180" s="10"/>
      <c r="J180" s="10"/>
      <c r="K180" s="86"/>
      <c r="M180" s="11"/>
    </row>
    <row r="181" spans="7:13" s="9" customFormat="1" ht="12.75" customHeight="1">
      <c r="G181" s="10"/>
      <c r="I181" s="10"/>
      <c r="J181" s="10"/>
      <c r="K181" s="86"/>
      <c r="M181" s="11"/>
    </row>
    <row r="182" spans="7:13" s="9" customFormat="1" ht="12.75" customHeight="1">
      <c r="G182" s="10"/>
      <c r="I182" s="10"/>
      <c r="J182" s="10"/>
      <c r="K182" s="86"/>
      <c r="M182" s="11"/>
    </row>
    <row r="183" spans="7:13" s="9" customFormat="1" ht="12.75" customHeight="1">
      <c r="G183" s="10"/>
      <c r="I183" s="10"/>
      <c r="J183" s="10"/>
      <c r="K183" s="86"/>
      <c r="M183" s="11"/>
    </row>
    <row r="184" spans="7:13" s="9" customFormat="1" ht="12.75" customHeight="1">
      <c r="G184" s="10"/>
      <c r="I184" s="10"/>
      <c r="J184" s="10"/>
      <c r="K184" s="86"/>
      <c r="M184" s="11"/>
    </row>
    <row r="185" spans="7:13" s="9" customFormat="1" ht="12.75" customHeight="1">
      <c r="G185" s="10"/>
      <c r="I185" s="10"/>
      <c r="J185" s="10"/>
      <c r="K185" s="86"/>
      <c r="M185" s="11"/>
    </row>
    <row r="186" spans="7:13" s="9" customFormat="1" ht="12.75" customHeight="1">
      <c r="G186" s="10"/>
      <c r="I186" s="10"/>
      <c r="J186" s="10"/>
      <c r="K186" s="86"/>
      <c r="M186" s="11"/>
    </row>
    <row r="187" spans="7:13" s="9" customFormat="1" ht="12.75" customHeight="1">
      <c r="G187" s="10"/>
      <c r="I187" s="10"/>
      <c r="J187" s="10"/>
      <c r="K187" s="86"/>
      <c r="M187" s="11"/>
    </row>
    <row r="188" spans="7:13" s="9" customFormat="1" ht="12.75" customHeight="1">
      <c r="G188" s="10"/>
      <c r="I188" s="10"/>
      <c r="J188" s="10"/>
      <c r="K188" s="86"/>
      <c r="M188" s="11"/>
    </row>
    <row r="189" spans="7:13" s="9" customFormat="1" ht="12.75" customHeight="1">
      <c r="G189" s="10"/>
      <c r="I189" s="10"/>
      <c r="J189" s="10"/>
      <c r="K189" s="86"/>
      <c r="M189" s="11"/>
    </row>
    <row r="190" spans="7:13" s="9" customFormat="1" ht="12.75" customHeight="1">
      <c r="G190" s="10"/>
      <c r="I190" s="10"/>
      <c r="J190" s="10"/>
      <c r="K190" s="86"/>
      <c r="M190" s="11"/>
    </row>
    <row r="191" spans="7:13" s="9" customFormat="1" ht="12.75" customHeight="1">
      <c r="G191" s="10"/>
      <c r="I191" s="10"/>
      <c r="J191" s="10"/>
      <c r="K191" s="86"/>
      <c r="M191" s="11"/>
    </row>
    <row r="192" spans="7:13" s="9" customFormat="1" ht="12.75" customHeight="1">
      <c r="G192" s="10"/>
      <c r="I192" s="10"/>
      <c r="J192" s="10"/>
      <c r="K192" s="86"/>
      <c r="M192" s="11"/>
    </row>
    <row r="193" spans="7:13" s="9" customFormat="1" ht="12.75" customHeight="1">
      <c r="G193" s="10"/>
      <c r="I193" s="10"/>
      <c r="J193" s="10"/>
      <c r="K193" s="86"/>
      <c r="M193" s="11"/>
    </row>
    <row r="194" spans="7:13" s="9" customFormat="1" ht="12.75" customHeight="1">
      <c r="G194" s="10"/>
      <c r="I194" s="10"/>
      <c r="J194" s="10"/>
      <c r="K194" s="86"/>
      <c r="M194" s="11"/>
    </row>
    <row r="195" spans="7:13" s="9" customFormat="1" ht="12.75" customHeight="1">
      <c r="G195" s="10"/>
      <c r="I195" s="10"/>
      <c r="J195" s="10"/>
      <c r="K195" s="86"/>
      <c r="M195" s="11"/>
    </row>
    <row r="196" spans="7:13" s="9" customFormat="1" ht="12.75" customHeight="1">
      <c r="G196" s="10"/>
      <c r="I196" s="10"/>
      <c r="J196" s="10"/>
      <c r="K196" s="86"/>
      <c r="M196" s="11"/>
    </row>
    <row r="197" spans="7:13" s="9" customFormat="1" ht="12.75" customHeight="1">
      <c r="G197" s="10"/>
      <c r="I197" s="10"/>
      <c r="J197" s="10"/>
      <c r="K197" s="86"/>
      <c r="M197" s="11"/>
    </row>
    <row r="198" spans="7:13" s="9" customFormat="1" ht="12.75" customHeight="1">
      <c r="G198" s="10"/>
      <c r="I198" s="10"/>
      <c r="J198" s="10"/>
      <c r="K198" s="86"/>
      <c r="M198" s="11"/>
    </row>
    <row r="199" spans="7:13" s="9" customFormat="1" ht="12.75" customHeight="1">
      <c r="G199" s="10"/>
      <c r="I199" s="10"/>
      <c r="J199" s="10"/>
      <c r="K199" s="86"/>
      <c r="M199" s="11"/>
    </row>
    <row r="200" spans="7:13" s="9" customFormat="1" ht="12.75" customHeight="1">
      <c r="G200" s="10"/>
      <c r="I200" s="10"/>
      <c r="J200" s="10"/>
      <c r="K200" s="86"/>
      <c r="M200" s="11"/>
    </row>
    <row r="201" spans="7:13" s="9" customFormat="1" ht="12.75" customHeight="1">
      <c r="G201" s="10"/>
      <c r="I201" s="10"/>
      <c r="J201" s="10"/>
      <c r="K201" s="86"/>
      <c r="M201" s="11"/>
    </row>
    <row r="202" spans="7:13" s="9" customFormat="1" ht="12.75" customHeight="1">
      <c r="G202" s="10"/>
      <c r="I202" s="10"/>
      <c r="J202" s="10"/>
      <c r="K202" s="86"/>
      <c r="M202" s="11"/>
    </row>
    <row r="203" spans="7:13" s="9" customFormat="1" ht="12.75" customHeight="1">
      <c r="G203" s="10"/>
      <c r="I203" s="10"/>
      <c r="J203" s="10"/>
      <c r="K203" s="86"/>
      <c r="M203" s="11"/>
    </row>
    <row r="204" spans="7:13" s="9" customFormat="1" ht="12.75" customHeight="1">
      <c r="G204" s="10"/>
      <c r="I204" s="10"/>
      <c r="J204" s="10"/>
      <c r="K204" s="86"/>
      <c r="M204" s="11"/>
    </row>
    <row r="205" spans="7:13" s="9" customFormat="1" ht="12.75" customHeight="1">
      <c r="G205" s="10"/>
      <c r="I205" s="10"/>
      <c r="J205" s="10"/>
      <c r="K205" s="86"/>
      <c r="M205" s="11"/>
    </row>
    <row r="206" spans="7:13" s="9" customFormat="1" ht="12.75" customHeight="1">
      <c r="G206" s="10"/>
      <c r="I206" s="10"/>
      <c r="J206" s="10"/>
      <c r="K206" s="86"/>
      <c r="M206" s="11"/>
    </row>
    <row r="207" spans="7:13" s="9" customFormat="1" ht="12.75" customHeight="1">
      <c r="G207" s="10"/>
      <c r="I207" s="10"/>
      <c r="J207" s="10"/>
      <c r="K207" s="86"/>
      <c r="M207" s="11"/>
    </row>
    <row r="208" spans="7:13" s="9" customFormat="1" ht="12.75" customHeight="1">
      <c r="G208" s="10"/>
      <c r="I208" s="10"/>
      <c r="J208" s="10"/>
      <c r="K208" s="86"/>
      <c r="M208" s="11"/>
    </row>
    <row r="209" spans="7:13" s="9" customFormat="1" ht="12.75" customHeight="1">
      <c r="G209" s="10"/>
      <c r="I209" s="10"/>
      <c r="J209" s="10"/>
      <c r="K209" s="86"/>
      <c r="M209" s="11"/>
    </row>
    <row r="210" spans="7:13" s="9" customFormat="1" ht="12.75" customHeight="1">
      <c r="G210" s="10"/>
      <c r="I210" s="10"/>
      <c r="J210" s="10"/>
      <c r="K210" s="86"/>
      <c r="M210" s="11"/>
    </row>
    <row r="211" spans="7:13" s="9" customFormat="1" ht="12.75" customHeight="1">
      <c r="G211" s="10"/>
      <c r="I211" s="10"/>
      <c r="J211" s="10"/>
      <c r="K211" s="86"/>
      <c r="M211" s="11"/>
    </row>
    <row r="212" spans="7:13" s="9" customFormat="1" ht="12.75" customHeight="1">
      <c r="G212" s="10"/>
      <c r="I212" s="10"/>
      <c r="J212" s="10"/>
      <c r="K212" s="86"/>
      <c r="M212" s="11"/>
    </row>
    <row r="213" spans="7:13" s="9" customFormat="1" ht="12.75" customHeight="1">
      <c r="G213" s="10"/>
      <c r="I213" s="10"/>
      <c r="J213" s="10"/>
      <c r="K213" s="86"/>
      <c r="M213" s="11"/>
    </row>
    <row r="214" spans="7:13" s="9" customFormat="1" ht="12.75" customHeight="1">
      <c r="G214" s="10"/>
      <c r="I214" s="10"/>
      <c r="J214" s="10"/>
      <c r="K214" s="86"/>
      <c r="M214" s="11"/>
    </row>
    <row r="215" spans="7:13" s="9" customFormat="1" ht="12.75" customHeight="1">
      <c r="G215" s="10"/>
      <c r="I215" s="10"/>
      <c r="J215" s="10"/>
      <c r="K215" s="86"/>
      <c r="M215" s="11"/>
    </row>
    <row r="216" spans="7:13" s="9" customFormat="1" ht="12.75" customHeight="1">
      <c r="G216" s="10"/>
      <c r="I216" s="10"/>
      <c r="J216" s="10"/>
      <c r="K216" s="86"/>
      <c r="M216" s="11"/>
    </row>
    <row r="217" spans="7:13" s="9" customFormat="1" ht="12.75" customHeight="1">
      <c r="G217" s="10"/>
      <c r="I217" s="10"/>
      <c r="J217" s="10"/>
      <c r="K217" s="86"/>
      <c r="M217" s="11"/>
    </row>
    <row r="218" spans="7:13" s="9" customFormat="1" ht="12.75" customHeight="1">
      <c r="G218" s="10"/>
      <c r="I218" s="10"/>
      <c r="J218" s="10"/>
      <c r="K218" s="86"/>
      <c r="M218" s="11"/>
    </row>
    <row r="219" spans="7:13" s="9" customFormat="1" ht="12.75" customHeight="1">
      <c r="G219" s="10"/>
      <c r="I219" s="10"/>
      <c r="J219" s="10"/>
      <c r="K219" s="86"/>
      <c r="M219" s="11"/>
    </row>
    <row r="220" spans="7:13" s="9" customFormat="1" ht="12.75" customHeight="1">
      <c r="G220" s="10"/>
      <c r="I220" s="10"/>
      <c r="J220" s="10"/>
      <c r="K220" s="86"/>
      <c r="M220" s="11"/>
    </row>
    <row r="221" spans="7:13" s="9" customFormat="1" ht="12.75" customHeight="1">
      <c r="G221" s="10"/>
      <c r="I221" s="10"/>
      <c r="J221" s="10"/>
      <c r="K221" s="86"/>
      <c r="M221" s="11"/>
    </row>
    <row r="222" spans="7:13" s="9" customFormat="1" ht="12.75" customHeight="1">
      <c r="G222" s="10"/>
      <c r="I222" s="10"/>
      <c r="J222" s="10"/>
      <c r="K222" s="86"/>
      <c r="M222" s="11"/>
    </row>
    <row r="223" spans="7:13" s="9" customFormat="1" ht="12.75" customHeight="1">
      <c r="G223" s="10"/>
      <c r="I223" s="10"/>
      <c r="J223" s="10"/>
      <c r="K223" s="86"/>
      <c r="M223" s="11"/>
    </row>
    <row r="224" spans="7:13" s="9" customFormat="1" ht="12.75" customHeight="1">
      <c r="G224" s="10"/>
      <c r="I224" s="10"/>
      <c r="J224" s="10"/>
      <c r="K224" s="86"/>
      <c r="M224" s="11"/>
    </row>
    <row r="225" spans="7:13" s="9" customFormat="1" ht="12.75" customHeight="1">
      <c r="G225" s="10"/>
      <c r="I225" s="10"/>
      <c r="J225" s="10"/>
      <c r="K225" s="86"/>
      <c r="M225" s="11"/>
    </row>
    <row r="226" spans="7:13" s="9" customFormat="1" ht="12.75" customHeight="1">
      <c r="G226" s="10"/>
      <c r="I226" s="10"/>
      <c r="J226" s="10"/>
      <c r="K226" s="86"/>
      <c r="M226" s="11"/>
    </row>
    <row r="227" spans="7:13" s="9" customFormat="1" ht="12.75" customHeight="1">
      <c r="G227" s="10"/>
      <c r="I227" s="10"/>
      <c r="J227" s="10"/>
      <c r="K227" s="86"/>
      <c r="M227" s="11"/>
    </row>
    <row r="228" spans="7:13" s="9" customFormat="1" ht="12.75" customHeight="1">
      <c r="G228" s="10"/>
      <c r="I228" s="10"/>
      <c r="J228" s="10"/>
      <c r="K228" s="86"/>
      <c r="M228" s="11"/>
    </row>
    <row r="229" spans="7:13" s="9" customFormat="1" ht="12.75" customHeight="1">
      <c r="G229" s="10"/>
      <c r="I229" s="10"/>
      <c r="J229" s="10"/>
      <c r="K229" s="86"/>
      <c r="M229" s="11"/>
    </row>
    <row r="230" spans="7:13" s="9" customFormat="1" ht="12.75" customHeight="1">
      <c r="G230" s="10"/>
      <c r="I230" s="10"/>
      <c r="J230" s="10"/>
      <c r="K230" s="86"/>
      <c r="M230" s="11"/>
    </row>
    <row r="231" spans="7:13" s="9" customFormat="1" ht="12.75" customHeight="1">
      <c r="G231" s="10"/>
      <c r="I231" s="10"/>
      <c r="J231" s="10"/>
      <c r="K231" s="86"/>
      <c r="M231" s="11"/>
    </row>
    <row r="232" spans="7:13" s="9" customFormat="1" ht="12.75" customHeight="1">
      <c r="G232" s="10"/>
      <c r="I232" s="10"/>
      <c r="J232" s="10"/>
      <c r="K232" s="86"/>
      <c r="M232" s="11"/>
    </row>
    <row r="233" spans="7:13" s="9" customFormat="1" ht="12.75" customHeight="1">
      <c r="G233" s="10"/>
      <c r="I233" s="10"/>
      <c r="J233" s="10"/>
      <c r="K233" s="86"/>
      <c r="M233" s="11"/>
    </row>
    <row r="234" spans="7:13" s="9" customFormat="1" ht="12.75" customHeight="1">
      <c r="G234" s="10"/>
      <c r="I234" s="10"/>
      <c r="J234" s="10"/>
      <c r="K234" s="86"/>
      <c r="M234" s="11"/>
    </row>
    <row r="235" spans="7:13" s="9" customFormat="1" ht="12.75" customHeight="1">
      <c r="G235" s="10"/>
      <c r="I235" s="10"/>
      <c r="J235" s="10"/>
      <c r="K235" s="86"/>
      <c r="M235" s="11"/>
    </row>
    <row r="236" spans="7:13" s="9" customFormat="1" ht="12.75" customHeight="1">
      <c r="G236" s="10"/>
      <c r="I236" s="10"/>
      <c r="J236" s="10"/>
      <c r="K236" s="86"/>
      <c r="M236" s="11"/>
    </row>
    <row r="237" spans="7:13" s="9" customFormat="1" ht="12.75" customHeight="1">
      <c r="G237" s="10"/>
      <c r="I237" s="10"/>
      <c r="J237" s="10"/>
      <c r="K237" s="86"/>
      <c r="M237" s="11"/>
    </row>
    <row r="238" spans="7:13" s="9" customFormat="1" ht="12.75" customHeight="1">
      <c r="G238" s="10"/>
      <c r="I238" s="10"/>
      <c r="J238" s="10"/>
      <c r="K238" s="86"/>
      <c r="M238" s="11"/>
    </row>
    <row r="239" spans="7:13" s="9" customFormat="1" ht="12.75" customHeight="1">
      <c r="G239" s="10"/>
      <c r="I239" s="10"/>
      <c r="J239" s="10"/>
      <c r="K239" s="86"/>
      <c r="M239" s="11"/>
    </row>
    <row r="240" spans="7:13" s="9" customFormat="1" ht="12.75" customHeight="1">
      <c r="G240" s="10"/>
      <c r="I240" s="10"/>
      <c r="J240" s="10"/>
      <c r="K240" s="86"/>
      <c r="M240" s="11"/>
    </row>
    <row r="241" spans="7:13" s="9" customFormat="1" ht="12.75" customHeight="1">
      <c r="G241" s="10"/>
      <c r="I241" s="10"/>
      <c r="J241" s="10"/>
      <c r="K241" s="86"/>
      <c r="M241" s="11"/>
    </row>
    <row r="242" spans="7:13" s="9" customFormat="1" ht="12.75" customHeight="1">
      <c r="G242" s="10"/>
      <c r="I242" s="10"/>
      <c r="J242" s="10"/>
      <c r="K242" s="86"/>
      <c r="M242" s="11"/>
    </row>
    <row r="243" spans="7:13" s="9" customFormat="1" ht="12.75" customHeight="1">
      <c r="G243" s="10"/>
      <c r="I243" s="10"/>
      <c r="J243" s="10"/>
      <c r="K243" s="86"/>
      <c r="M243" s="11"/>
    </row>
    <row r="244" spans="7:13" s="9" customFormat="1" ht="12.75" customHeight="1">
      <c r="G244" s="10"/>
      <c r="I244" s="10"/>
      <c r="J244" s="10"/>
      <c r="K244" s="86"/>
      <c r="M244" s="11"/>
    </row>
    <row r="245" spans="7:13" s="9" customFormat="1" ht="12.75" customHeight="1">
      <c r="G245" s="10"/>
      <c r="I245" s="10"/>
      <c r="J245" s="10"/>
      <c r="K245" s="86"/>
      <c r="M245" s="11"/>
    </row>
    <row r="246" spans="7:13" s="9" customFormat="1" ht="12.75" customHeight="1">
      <c r="G246" s="10"/>
      <c r="I246" s="10"/>
      <c r="J246" s="10"/>
      <c r="K246" s="86"/>
      <c r="M246" s="11"/>
    </row>
    <row r="247" spans="7:13" s="9" customFormat="1" ht="12.75" customHeight="1">
      <c r="G247" s="10"/>
      <c r="I247" s="10"/>
      <c r="J247" s="10"/>
      <c r="K247" s="86"/>
      <c r="M247" s="11"/>
    </row>
    <row r="248" spans="7:13" s="9" customFormat="1" ht="12.75" customHeight="1">
      <c r="G248" s="10"/>
      <c r="I248" s="10"/>
      <c r="J248" s="10"/>
      <c r="K248" s="86"/>
      <c r="M248" s="11"/>
    </row>
    <row r="249" spans="7:13" s="9" customFormat="1" ht="12.75" customHeight="1">
      <c r="G249" s="10"/>
      <c r="I249" s="10"/>
      <c r="J249" s="10"/>
      <c r="K249" s="86"/>
      <c r="M249" s="11"/>
    </row>
    <row r="250" spans="7:13" s="9" customFormat="1" ht="12.75" customHeight="1">
      <c r="G250" s="10"/>
      <c r="I250" s="10"/>
      <c r="J250" s="10"/>
      <c r="K250" s="86"/>
      <c r="M250" s="11"/>
    </row>
    <row r="251" spans="7:13" s="9" customFormat="1" ht="12.75" customHeight="1">
      <c r="G251" s="10"/>
      <c r="I251" s="10"/>
      <c r="J251" s="10"/>
      <c r="K251" s="86"/>
      <c r="M251" s="11"/>
    </row>
    <row r="252" spans="7:13" s="9" customFormat="1" ht="12.75" customHeight="1">
      <c r="G252" s="10"/>
      <c r="I252" s="10"/>
      <c r="J252" s="10"/>
      <c r="K252" s="86"/>
      <c r="M252" s="11"/>
    </row>
    <row r="253" spans="7:13" s="9" customFormat="1" ht="12.75" customHeight="1">
      <c r="G253" s="10"/>
      <c r="I253" s="10"/>
      <c r="J253" s="10"/>
      <c r="K253" s="86"/>
      <c r="M253" s="11"/>
    </row>
    <row r="254" spans="7:13" s="9" customFormat="1" ht="12.75" customHeight="1">
      <c r="G254" s="10"/>
      <c r="I254" s="10"/>
      <c r="J254" s="10"/>
      <c r="K254" s="86"/>
      <c r="M254" s="11"/>
    </row>
    <row r="255" spans="7:13" s="9" customFormat="1" ht="12.75" customHeight="1">
      <c r="G255" s="10"/>
      <c r="I255" s="10"/>
      <c r="J255" s="10"/>
      <c r="K255" s="86"/>
      <c r="M255" s="11"/>
    </row>
    <row r="256" spans="7:13" s="9" customFormat="1" ht="12.75" customHeight="1">
      <c r="G256" s="10"/>
      <c r="I256" s="10"/>
      <c r="J256" s="10"/>
      <c r="K256" s="86"/>
      <c r="M256" s="11"/>
    </row>
    <row r="257" spans="7:13" s="9" customFormat="1" ht="12.75" customHeight="1">
      <c r="G257" s="10"/>
      <c r="I257" s="10"/>
      <c r="J257" s="10"/>
      <c r="K257" s="86"/>
      <c r="M257" s="11"/>
    </row>
    <row r="258" spans="7:13" s="9" customFormat="1" ht="12.75" customHeight="1">
      <c r="G258" s="10"/>
      <c r="I258" s="10"/>
      <c r="J258" s="10"/>
      <c r="K258" s="86"/>
      <c r="M258" s="11"/>
    </row>
    <row r="259" spans="7:13" s="9" customFormat="1" ht="12.75" customHeight="1">
      <c r="G259" s="10"/>
      <c r="I259" s="10"/>
      <c r="J259" s="10"/>
      <c r="K259" s="86"/>
      <c r="M259" s="11"/>
    </row>
    <row r="260" spans="7:13" s="9" customFormat="1" ht="12.75" customHeight="1">
      <c r="G260" s="10"/>
      <c r="I260" s="10"/>
      <c r="J260" s="10"/>
      <c r="K260" s="86"/>
      <c r="M260" s="11"/>
    </row>
    <row r="261" spans="7:13" s="9" customFormat="1" ht="12.75" customHeight="1">
      <c r="G261" s="10"/>
      <c r="I261" s="10"/>
      <c r="J261" s="10"/>
      <c r="K261" s="86"/>
      <c r="M261" s="11"/>
    </row>
    <row r="262" spans="7:13" s="9" customFormat="1" ht="12.75" customHeight="1">
      <c r="G262" s="10"/>
      <c r="I262" s="10"/>
      <c r="J262" s="10"/>
      <c r="K262" s="86"/>
      <c r="M262" s="11"/>
    </row>
    <row r="263" spans="7:13" s="9" customFormat="1" ht="12.75" customHeight="1">
      <c r="G263" s="10"/>
      <c r="I263" s="10"/>
      <c r="J263" s="10"/>
      <c r="K263" s="86"/>
      <c r="M263" s="11"/>
    </row>
    <row r="264" spans="7:13" s="9" customFormat="1" ht="12.75" customHeight="1">
      <c r="G264" s="10"/>
      <c r="I264" s="10"/>
      <c r="J264" s="10"/>
      <c r="K264" s="86"/>
      <c r="M264" s="11"/>
    </row>
    <row r="265" spans="7:13" s="9" customFormat="1" ht="12.75" customHeight="1">
      <c r="G265" s="10"/>
      <c r="I265" s="10"/>
      <c r="J265" s="10"/>
      <c r="K265" s="86"/>
      <c r="M265" s="11"/>
    </row>
    <row r="266" spans="7:13" s="9" customFormat="1" ht="12.75" customHeight="1">
      <c r="G266" s="10"/>
      <c r="I266" s="10"/>
      <c r="J266" s="10"/>
      <c r="K266" s="86"/>
      <c r="M266" s="11"/>
    </row>
    <row r="267" spans="7:13" s="9" customFormat="1" ht="12.75" customHeight="1">
      <c r="G267" s="10"/>
      <c r="I267" s="10"/>
      <c r="J267" s="10"/>
      <c r="K267" s="86"/>
      <c r="M267" s="11"/>
    </row>
    <row r="268" spans="7:13" s="9" customFormat="1" ht="12.75" customHeight="1">
      <c r="G268" s="10"/>
      <c r="I268" s="10"/>
      <c r="J268" s="10"/>
      <c r="K268" s="86"/>
      <c r="M268" s="11"/>
    </row>
    <row r="269" spans="7:13" s="9" customFormat="1" ht="12.75" customHeight="1">
      <c r="G269" s="10"/>
      <c r="I269" s="10"/>
      <c r="J269" s="10"/>
      <c r="K269" s="86"/>
      <c r="M269" s="11"/>
    </row>
    <row r="270" spans="7:13" s="9" customFormat="1" ht="12.75" customHeight="1">
      <c r="G270" s="10"/>
      <c r="I270" s="10"/>
      <c r="J270" s="10"/>
      <c r="K270" s="86"/>
      <c r="M270" s="11"/>
    </row>
    <row r="271" spans="7:13" s="9" customFormat="1" ht="12.75" customHeight="1">
      <c r="G271" s="10"/>
      <c r="I271" s="10"/>
      <c r="J271" s="10"/>
      <c r="K271" s="86"/>
      <c r="M271" s="11"/>
    </row>
    <row r="272" spans="7:13" s="9" customFormat="1" ht="12.75" customHeight="1">
      <c r="G272" s="10"/>
      <c r="I272" s="10"/>
      <c r="J272" s="10"/>
      <c r="K272" s="86"/>
      <c r="M272" s="11"/>
    </row>
    <row r="273" spans="7:13" s="9" customFormat="1" ht="12.75" customHeight="1">
      <c r="G273" s="10"/>
      <c r="I273" s="10"/>
      <c r="J273" s="10"/>
      <c r="K273" s="86"/>
      <c r="M273" s="11"/>
    </row>
    <row r="274" spans="7:13" s="9" customFormat="1" ht="12.75" customHeight="1">
      <c r="G274" s="10"/>
      <c r="I274" s="10"/>
      <c r="J274" s="10"/>
      <c r="K274" s="86"/>
      <c r="M274" s="11"/>
    </row>
    <row r="275" spans="7:13" s="9" customFormat="1" ht="12.75" customHeight="1">
      <c r="G275" s="10"/>
      <c r="I275" s="10"/>
      <c r="J275" s="10"/>
      <c r="K275" s="86"/>
      <c r="M275" s="11"/>
    </row>
    <row r="276" spans="7:13" s="9" customFormat="1" ht="12.75" customHeight="1">
      <c r="G276" s="10"/>
      <c r="I276" s="10"/>
      <c r="J276" s="10"/>
      <c r="K276" s="86"/>
      <c r="M276" s="11"/>
    </row>
    <row r="277" spans="7:13" s="9" customFormat="1" ht="12.75" customHeight="1">
      <c r="G277" s="10"/>
      <c r="I277" s="10"/>
      <c r="J277" s="10"/>
      <c r="K277" s="86"/>
      <c r="M277" s="11"/>
    </row>
    <row r="278" spans="7:13" s="9" customFormat="1" ht="12.75" customHeight="1">
      <c r="G278" s="10"/>
      <c r="I278" s="10"/>
      <c r="J278" s="10"/>
      <c r="K278" s="86"/>
      <c r="M278" s="11"/>
    </row>
    <row r="279" spans="7:13" s="9" customFormat="1" ht="12.75" customHeight="1">
      <c r="G279" s="10"/>
      <c r="I279" s="10"/>
      <c r="J279" s="10"/>
      <c r="K279" s="86"/>
      <c r="M279" s="11"/>
    </row>
    <row r="280" spans="7:13" s="9" customFormat="1" ht="12.75" customHeight="1">
      <c r="G280" s="10"/>
      <c r="I280" s="10"/>
      <c r="J280" s="10"/>
      <c r="K280" s="86"/>
      <c r="M280" s="11"/>
    </row>
    <row r="281" spans="7:13" s="9" customFormat="1" ht="12.75" customHeight="1">
      <c r="G281" s="10"/>
      <c r="I281" s="10"/>
      <c r="J281" s="10"/>
      <c r="K281" s="86"/>
      <c r="M281" s="11"/>
    </row>
    <row r="282" spans="7:13" s="9" customFormat="1" ht="12.75" customHeight="1">
      <c r="G282" s="10"/>
      <c r="I282" s="10"/>
      <c r="J282" s="10"/>
      <c r="K282" s="86"/>
      <c r="M282" s="11"/>
    </row>
    <row r="283" spans="7:13" s="9" customFormat="1" ht="12.75" customHeight="1">
      <c r="G283" s="10"/>
      <c r="I283" s="10"/>
      <c r="J283" s="10"/>
      <c r="K283" s="86"/>
      <c r="M283" s="11"/>
    </row>
    <row r="284" spans="7:13" s="9" customFormat="1" ht="12.75" customHeight="1">
      <c r="G284" s="10"/>
      <c r="I284" s="10"/>
      <c r="J284" s="10"/>
      <c r="K284" s="86"/>
      <c r="M284" s="11"/>
    </row>
    <row r="285" spans="7:13" s="9" customFormat="1" ht="12.75" customHeight="1">
      <c r="G285" s="10"/>
      <c r="I285" s="10"/>
      <c r="J285" s="10"/>
      <c r="K285" s="86"/>
      <c r="M285" s="11"/>
    </row>
    <row r="286" spans="7:13" s="9" customFormat="1" ht="12.75" customHeight="1">
      <c r="G286" s="10"/>
      <c r="I286" s="10"/>
      <c r="J286" s="10"/>
      <c r="K286" s="86"/>
      <c r="M286" s="11"/>
    </row>
    <row r="287" spans="7:13" s="9" customFormat="1" ht="12.75" customHeight="1">
      <c r="G287" s="10"/>
      <c r="I287" s="10"/>
      <c r="J287" s="10"/>
      <c r="K287" s="86"/>
      <c r="M287" s="11"/>
    </row>
    <row r="288" spans="7:13" s="9" customFormat="1" ht="12.75" customHeight="1">
      <c r="G288" s="10"/>
      <c r="I288" s="10"/>
      <c r="J288" s="10"/>
      <c r="K288" s="86"/>
      <c r="M288" s="11"/>
    </row>
    <row r="289" spans="7:13" s="9" customFormat="1" ht="12.75" customHeight="1">
      <c r="G289" s="10"/>
      <c r="I289" s="10"/>
      <c r="J289" s="10"/>
      <c r="K289" s="86"/>
      <c r="M289" s="11"/>
    </row>
    <row r="290" spans="7:13" s="9" customFormat="1" ht="12.75" customHeight="1">
      <c r="G290" s="10"/>
      <c r="I290" s="10"/>
      <c r="J290" s="10"/>
      <c r="K290" s="86"/>
      <c r="M290" s="11"/>
    </row>
    <row r="291" spans="7:13" s="9" customFormat="1" ht="12.75" customHeight="1">
      <c r="G291" s="10"/>
      <c r="I291" s="10"/>
      <c r="J291" s="10"/>
      <c r="K291" s="86"/>
      <c r="M291" s="11"/>
    </row>
    <row r="292" spans="7:13" s="9" customFormat="1" ht="12.75" customHeight="1">
      <c r="G292" s="10"/>
      <c r="I292" s="10"/>
      <c r="J292" s="10"/>
      <c r="K292" s="86"/>
      <c r="M292" s="11"/>
    </row>
    <row r="293" spans="7:13" s="9" customFormat="1" ht="12.75" customHeight="1">
      <c r="G293" s="10"/>
      <c r="I293" s="10"/>
      <c r="J293" s="10"/>
      <c r="K293" s="86"/>
      <c r="M293" s="11"/>
    </row>
    <row r="294" spans="7:13" s="9" customFormat="1" ht="12.75" customHeight="1">
      <c r="G294" s="10"/>
      <c r="I294" s="10"/>
      <c r="J294" s="10"/>
      <c r="K294" s="86"/>
      <c r="M294" s="11"/>
    </row>
    <row r="295" spans="7:13" s="9" customFormat="1" ht="12.75" customHeight="1">
      <c r="G295" s="10"/>
      <c r="I295" s="10"/>
      <c r="J295" s="10"/>
      <c r="K295" s="86"/>
      <c r="M295" s="11"/>
    </row>
    <row r="296" spans="7:13" s="9" customFormat="1" ht="12.75" customHeight="1">
      <c r="G296" s="10"/>
      <c r="I296" s="10"/>
      <c r="J296" s="10"/>
      <c r="K296" s="86"/>
      <c r="M296" s="11"/>
    </row>
    <row r="297" spans="7:13" s="9" customFormat="1" ht="12.75" customHeight="1">
      <c r="G297" s="10"/>
      <c r="I297" s="10"/>
      <c r="J297" s="10"/>
      <c r="K297" s="86"/>
      <c r="M297" s="11"/>
    </row>
    <row r="298" spans="7:13" s="9" customFormat="1" ht="12.75" customHeight="1">
      <c r="G298" s="10"/>
      <c r="I298" s="10"/>
      <c r="J298" s="10"/>
      <c r="K298" s="86"/>
      <c r="M298" s="11"/>
    </row>
    <row r="299" spans="7:13" s="9" customFormat="1" ht="12.75" customHeight="1">
      <c r="G299" s="10"/>
      <c r="I299" s="10"/>
      <c r="J299" s="10"/>
      <c r="K299" s="86"/>
      <c r="M299" s="11"/>
    </row>
    <row r="300" spans="7:13" s="9" customFormat="1" ht="12.75" customHeight="1">
      <c r="G300" s="10"/>
      <c r="I300" s="10"/>
      <c r="J300" s="10"/>
      <c r="K300" s="86"/>
      <c r="M300" s="11"/>
    </row>
    <row r="301" spans="7:13" s="9" customFormat="1" ht="12.75" customHeight="1">
      <c r="G301" s="10"/>
      <c r="I301" s="10"/>
      <c r="J301" s="10"/>
      <c r="K301" s="86"/>
      <c r="M301" s="11"/>
    </row>
    <row r="302" spans="7:13" s="9" customFormat="1" ht="12.75" customHeight="1">
      <c r="G302" s="10"/>
      <c r="I302" s="10"/>
      <c r="J302" s="10"/>
      <c r="K302" s="86"/>
      <c r="M302" s="11"/>
    </row>
    <row r="303" spans="7:13" s="9" customFormat="1" ht="12.75" customHeight="1">
      <c r="G303" s="10"/>
      <c r="I303" s="10"/>
      <c r="J303" s="10"/>
      <c r="K303" s="86"/>
      <c r="M303" s="11"/>
    </row>
    <row r="304" spans="7:13" s="9" customFormat="1" ht="12.75" customHeight="1">
      <c r="G304" s="10"/>
      <c r="I304" s="10"/>
      <c r="J304" s="10"/>
      <c r="K304" s="86"/>
      <c r="M304" s="11"/>
    </row>
    <row r="305" spans="7:13" s="9" customFormat="1" ht="12.75" customHeight="1">
      <c r="G305" s="10"/>
      <c r="I305" s="10"/>
      <c r="J305" s="10"/>
      <c r="K305" s="86"/>
      <c r="M305" s="11"/>
    </row>
    <row r="306" spans="7:13" s="9" customFormat="1" ht="12.75" customHeight="1">
      <c r="G306" s="10"/>
      <c r="I306" s="10"/>
      <c r="J306" s="10"/>
      <c r="K306" s="86"/>
      <c r="M306" s="11"/>
    </row>
    <row r="307" spans="7:13" s="9" customFormat="1" ht="12.75" customHeight="1">
      <c r="G307" s="10"/>
      <c r="I307" s="10"/>
      <c r="J307" s="10"/>
      <c r="K307" s="86"/>
      <c r="M307" s="11"/>
    </row>
    <row r="308" spans="7:13" s="9" customFormat="1" ht="12.75" customHeight="1">
      <c r="G308" s="10"/>
      <c r="I308" s="10"/>
      <c r="J308" s="10"/>
      <c r="K308" s="86"/>
      <c r="M308" s="11"/>
    </row>
    <row r="309" spans="7:13" s="9" customFormat="1" ht="12.75" customHeight="1">
      <c r="G309" s="10"/>
      <c r="I309" s="10"/>
      <c r="J309" s="10"/>
      <c r="K309" s="86"/>
      <c r="M309" s="11"/>
    </row>
    <row r="310" spans="7:13" s="9" customFormat="1" ht="12.75" customHeight="1">
      <c r="G310" s="10"/>
      <c r="I310" s="10"/>
      <c r="J310" s="10"/>
      <c r="K310" s="86"/>
      <c r="M310" s="11"/>
    </row>
    <row r="311" spans="7:13" s="9" customFormat="1" ht="12.75" customHeight="1">
      <c r="G311" s="10"/>
      <c r="I311" s="10"/>
      <c r="J311" s="10"/>
      <c r="K311" s="86"/>
      <c r="M311" s="11"/>
    </row>
    <row r="312" spans="7:13" s="9" customFormat="1" ht="12.75" customHeight="1">
      <c r="G312" s="10"/>
      <c r="I312" s="10"/>
      <c r="J312" s="10"/>
      <c r="K312" s="86"/>
      <c r="M312" s="11"/>
    </row>
    <row r="313" spans="7:13" s="9" customFormat="1" ht="12.75" customHeight="1">
      <c r="G313" s="10"/>
      <c r="I313" s="10"/>
      <c r="J313" s="10"/>
      <c r="K313" s="86"/>
      <c r="M313" s="11"/>
    </row>
    <row r="314" spans="7:13" s="9" customFormat="1" ht="12.75" customHeight="1">
      <c r="G314" s="10"/>
      <c r="I314" s="10"/>
      <c r="J314" s="10"/>
      <c r="K314" s="86"/>
      <c r="M314" s="11"/>
    </row>
    <row r="315" spans="7:13" s="9" customFormat="1" ht="12.75" customHeight="1">
      <c r="G315" s="10"/>
      <c r="I315" s="10"/>
      <c r="J315" s="10"/>
      <c r="K315" s="86"/>
      <c r="M315" s="11"/>
    </row>
    <row r="316" spans="7:13" s="9" customFormat="1" ht="12.75" customHeight="1">
      <c r="G316" s="10"/>
      <c r="I316" s="10"/>
      <c r="J316" s="10"/>
      <c r="K316" s="86"/>
      <c r="M316" s="11"/>
    </row>
    <row r="317" spans="7:13" s="9" customFormat="1" ht="12.75" customHeight="1">
      <c r="G317" s="10"/>
      <c r="I317" s="10"/>
      <c r="J317" s="10"/>
      <c r="K317" s="86"/>
      <c r="M317" s="11"/>
    </row>
    <row r="318" spans="7:13" s="9" customFormat="1" ht="12.75" customHeight="1">
      <c r="G318" s="10"/>
      <c r="I318" s="10"/>
      <c r="J318" s="10"/>
      <c r="K318" s="86"/>
      <c r="M318" s="11"/>
    </row>
    <row r="319" spans="7:13" s="9" customFormat="1" ht="12.75" customHeight="1">
      <c r="G319" s="10"/>
      <c r="I319" s="10"/>
      <c r="J319" s="10"/>
      <c r="K319" s="86"/>
      <c r="M319" s="11"/>
    </row>
    <row r="320" spans="7:13" s="9" customFormat="1" ht="12.75" customHeight="1">
      <c r="G320" s="10"/>
      <c r="I320" s="10"/>
      <c r="J320" s="10"/>
      <c r="K320" s="86"/>
      <c r="M320" s="11"/>
    </row>
    <row r="321" spans="7:13" s="9" customFormat="1" ht="12.75" customHeight="1">
      <c r="G321" s="10"/>
      <c r="I321" s="10"/>
      <c r="J321" s="10"/>
      <c r="K321" s="86"/>
      <c r="M321" s="11"/>
    </row>
    <row r="322" spans="7:13" s="9" customFormat="1" ht="12.75" customHeight="1">
      <c r="G322" s="10"/>
      <c r="I322" s="10"/>
      <c r="J322" s="10"/>
      <c r="K322" s="86"/>
      <c r="M322" s="11"/>
    </row>
    <row r="323" spans="7:13" s="9" customFormat="1" ht="12.75" customHeight="1">
      <c r="G323" s="10"/>
      <c r="I323" s="10"/>
      <c r="J323" s="10"/>
      <c r="K323" s="86"/>
      <c r="M323" s="11"/>
    </row>
    <row r="324" spans="7:13" s="9" customFormat="1" ht="12.75" customHeight="1">
      <c r="G324" s="10"/>
      <c r="I324" s="10"/>
      <c r="J324" s="10"/>
      <c r="K324" s="86"/>
      <c r="M324" s="11"/>
    </row>
    <row r="325" spans="7:13" s="9" customFormat="1" ht="12.75" customHeight="1">
      <c r="G325" s="10"/>
      <c r="I325" s="10"/>
      <c r="J325" s="10"/>
      <c r="K325" s="86"/>
      <c r="M325" s="11"/>
    </row>
    <row r="326" spans="7:13" s="9" customFormat="1" ht="12.75" customHeight="1">
      <c r="G326" s="10"/>
      <c r="I326" s="10"/>
      <c r="J326" s="10"/>
      <c r="K326" s="86"/>
      <c r="M326" s="11"/>
    </row>
    <row r="327" spans="7:13" s="9" customFormat="1" ht="12.75" customHeight="1">
      <c r="G327" s="10"/>
      <c r="I327" s="10"/>
      <c r="J327" s="10"/>
      <c r="K327" s="86"/>
      <c r="M327" s="11"/>
    </row>
    <row r="328" spans="7:13" s="9" customFormat="1" ht="12.75" customHeight="1">
      <c r="G328" s="10"/>
      <c r="I328" s="10"/>
      <c r="J328" s="10"/>
      <c r="K328" s="86"/>
      <c r="M328" s="11"/>
    </row>
    <row r="329" spans="7:13" s="9" customFormat="1" ht="12.75" customHeight="1">
      <c r="G329" s="10"/>
      <c r="I329" s="10"/>
      <c r="J329" s="10"/>
      <c r="K329" s="86"/>
      <c r="M329" s="11"/>
    </row>
    <row r="330" spans="7:13" s="9" customFormat="1" ht="12.75" customHeight="1">
      <c r="G330" s="10"/>
      <c r="I330" s="10"/>
      <c r="J330" s="10"/>
      <c r="K330" s="86"/>
      <c r="M330" s="11"/>
    </row>
    <row r="331" spans="7:13" s="9" customFormat="1" ht="12.75" customHeight="1">
      <c r="G331" s="10"/>
      <c r="I331" s="10"/>
      <c r="J331" s="10"/>
      <c r="K331" s="86"/>
      <c r="M331" s="11"/>
    </row>
    <row r="332" spans="7:13" s="9" customFormat="1" ht="12.75" customHeight="1">
      <c r="G332" s="10"/>
      <c r="I332" s="10"/>
      <c r="J332" s="10"/>
      <c r="K332" s="86"/>
      <c r="M332" s="11"/>
    </row>
    <row r="333" spans="7:13" s="9" customFormat="1" ht="12.75" customHeight="1">
      <c r="G333" s="10"/>
      <c r="I333" s="10"/>
      <c r="J333" s="10"/>
      <c r="K333" s="86"/>
      <c r="M333" s="11"/>
    </row>
    <row r="334" spans="7:13" s="9" customFormat="1" ht="12.75" customHeight="1">
      <c r="G334" s="10"/>
      <c r="I334" s="10"/>
      <c r="J334" s="10"/>
      <c r="K334" s="86"/>
      <c r="M334" s="11"/>
    </row>
    <row r="335" spans="7:13" s="9" customFormat="1" ht="12.75" customHeight="1">
      <c r="G335" s="10"/>
      <c r="I335" s="10"/>
      <c r="J335" s="10"/>
      <c r="K335" s="86"/>
      <c r="M335" s="11"/>
    </row>
    <row r="336" spans="7:13" s="9" customFormat="1" ht="12.75" customHeight="1">
      <c r="G336" s="10"/>
      <c r="I336" s="10"/>
      <c r="J336" s="10"/>
      <c r="K336" s="86"/>
      <c r="M336" s="11"/>
    </row>
    <row r="337" spans="7:13" s="9" customFormat="1" ht="12.75" customHeight="1">
      <c r="G337" s="10"/>
      <c r="I337" s="10"/>
      <c r="J337" s="10"/>
      <c r="K337" s="86"/>
      <c r="M337" s="11"/>
    </row>
    <row r="338" spans="7:13" s="9" customFormat="1" ht="12.75" customHeight="1">
      <c r="G338" s="10"/>
      <c r="I338" s="10"/>
      <c r="J338" s="10"/>
      <c r="K338" s="86"/>
      <c r="M338" s="11"/>
    </row>
    <row r="339" spans="7:13" s="9" customFormat="1" ht="12.75" customHeight="1">
      <c r="G339" s="10"/>
      <c r="I339" s="10"/>
      <c r="J339" s="10"/>
      <c r="K339" s="86"/>
      <c r="M339" s="11"/>
    </row>
    <row r="340" spans="7:13" s="9" customFormat="1" ht="12.75" customHeight="1">
      <c r="G340" s="10"/>
      <c r="I340" s="10"/>
      <c r="J340" s="10"/>
      <c r="K340" s="86"/>
      <c r="M340" s="11"/>
    </row>
    <row r="341" spans="7:13" s="9" customFormat="1" ht="12.75" customHeight="1">
      <c r="G341" s="10"/>
      <c r="I341" s="10"/>
      <c r="J341" s="10"/>
      <c r="K341" s="86"/>
      <c r="M341" s="11"/>
    </row>
    <row r="342" spans="7:13" s="9" customFormat="1" ht="12.75" customHeight="1">
      <c r="G342" s="10"/>
      <c r="I342" s="10"/>
      <c r="J342" s="10"/>
      <c r="K342" s="86"/>
      <c r="M342" s="11"/>
    </row>
    <row r="343" spans="7:13" s="9" customFormat="1" ht="12.75" customHeight="1">
      <c r="G343" s="10"/>
      <c r="I343" s="10"/>
      <c r="J343" s="10"/>
      <c r="K343" s="86"/>
      <c r="M343" s="11"/>
    </row>
    <row r="344" spans="7:13" s="9" customFormat="1" ht="12.75" customHeight="1">
      <c r="G344" s="10"/>
      <c r="I344" s="10"/>
      <c r="J344" s="10"/>
      <c r="K344" s="86"/>
      <c r="M344" s="11"/>
    </row>
    <row r="345" spans="7:13" s="9" customFormat="1" ht="12.75" customHeight="1">
      <c r="G345" s="10"/>
      <c r="I345" s="10"/>
      <c r="J345" s="10"/>
      <c r="K345" s="86"/>
      <c r="M345" s="11"/>
    </row>
    <row r="346" spans="7:13" s="9" customFormat="1" ht="12.75" customHeight="1">
      <c r="G346" s="10"/>
      <c r="I346" s="10"/>
      <c r="J346" s="10"/>
      <c r="K346" s="86"/>
      <c r="M346" s="11"/>
    </row>
    <row r="347" spans="7:13" s="9" customFormat="1" ht="12.75" customHeight="1">
      <c r="G347" s="10"/>
      <c r="I347" s="10"/>
      <c r="J347" s="10"/>
      <c r="K347" s="86"/>
      <c r="M347" s="11"/>
    </row>
    <row r="348" spans="7:13" s="9" customFormat="1" ht="12.75" customHeight="1">
      <c r="G348" s="10"/>
      <c r="I348" s="10"/>
      <c r="J348" s="10"/>
      <c r="K348" s="86"/>
      <c r="M348" s="11"/>
    </row>
    <row r="349" spans="7:13" s="9" customFormat="1" ht="12.75" customHeight="1">
      <c r="G349" s="10"/>
      <c r="I349" s="10"/>
      <c r="J349" s="10"/>
      <c r="K349" s="86"/>
      <c r="M349" s="11"/>
    </row>
    <row r="350" spans="7:13" s="9" customFormat="1" ht="12.75" customHeight="1">
      <c r="G350" s="10"/>
      <c r="I350" s="10"/>
      <c r="J350" s="10"/>
      <c r="K350" s="86"/>
      <c r="M350" s="11"/>
    </row>
    <row r="351" spans="7:13" s="9" customFormat="1" ht="12.75" customHeight="1">
      <c r="G351" s="10"/>
      <c r="I351" s="10"/>
      <c r="J351" s="10"/>
      <c r="K351" s="86"/>
      <c r="M351" s="11"/>
    </row>
    <row r="352" spans="7:13" s="9" customFormat="1" ht="12.75" customHeight="1">
      <c r="G352" s="10"/>
      <c r="I352" s="10"/>
      <c r="J352" s="10"/>
      <c r="K352" s="86"/>
      <c r="M352" s="11"/>
    </row>
    <row r="353" spans="7:13" s="9" customFormat="1" ht="12.75" customHeight="1">
      <c r="G353" s="10"/>
      <c r="I353" s="10"/>
      <c r="J353" s="10"/>
      <c r="K353" s="86"/>
      <c r="M353" s="11"/>
    </row>
    <row r="354" spans="7:13" s="9" customFormat="1" ht="12.75" customHeight="1">
      <c r="G354" s="10"/>
      <c r="I354" s="10"/>
      <c r="J354" s="10"/>
      <c r="K354" s="86"/>
      <c r="M354" s="11"/>
    </row>
    <row r="355" spans="7:13" s="9" customFormat="1" ht="12.75" customHeight="1">
      <c r="G355" s="10"/>
      <c r="I355" s="10"/>
      <c r="J355" s="10"/>
      <c r="K355" s="86"/>
      <c r="M355" s="11"/>
    </row>
    <row r="356" spans="7:13" s="9" customFormat="1" ht="12.75" customHeight="1">
      <c r="G356" s="10"/>
      <c r="I356" s="10"/>
      <c r="J356" s="10"/>
      <c r="K356" s="86"/>
      <c r="M356" s="11"/>
    </row>
    <row r="357" spans="7:13" s="9" customFormat="1" ht="12.75" customHeight="1">
      <c r="G357" s="10"/>
      <c r="I357" s="10"/>
      <c r="J357" s="10"/>
      <c r="K357" s="86"/>
      <c r="M357" s="11"/>
    </row>
    <row r="358" spans="7:13" s="9" customFormat="1" ht="12.75" customHeight="1">
      <c r="G358" s="10"/>
      <c r="I358" s="10"/>
      <c r="J358" s="10"/>
      <c r="K358" s="86"/>
      <c r="M358" s="11"/>
    </row>
    <row r="359" spans="7:13" s="9" customFormat="1" ht="12.75" customHeight="1">
      <c r="G359" s="10"/>
      <c r="I359" s="10"/>
      <c r="J359" s="10"/>
      <c r="K359" s="86"/>
      <c r="M359" s="11"/>
    </row>
    <row r="360" spans="7:13" s="9" customFormat="1" ht="12.75" customHeight="1">
      <c r="G360" s="10"/>
      <c r="I360" s="10"/>
      <c r="J360" s="10"/>
      <c r="K360" s="86"/>
      <c r="M360" s="11"/>
    </row>
    <row r="361" spans="7:13" s="9" customFormat="1" ht="12.75" customHeight="1">
      <c r="G361" s="10"/>
      <c r="I361" s="10"/>
      <c r="J361" s="10"/>
      <c r="K361" s="86"/>
      <c r="M361" s="11"/>
    </row>
    <row r="362" spans="7:13" s="9" customFormat="1" ht="12.75" customHeight="1">
      <c r="G362" s="10"/>
      <c r="I362" s="10"/>
      <c r="J362" s="10"/>
      <c r="K362" s="86"/>
      <c r="M362" s="11"/>
    </row>
    <row r="363" spans="7:13" s="9" customFormat="1" ht="12.75" customHeight="1">
      <c r="G363" s="10"/>
      <c r="I363" s="10"/>
      <c r="J363" s="10"/>
      <c r="K363" s="86"/>
      <c r="M363" s="11"/>
    </row>
    <row r="364" spans="7:13" s="9" customFormat="1" ht="12.75" customHeight="1">
      <c r="G364" s="10"/>
      <c r="I364" s="10"/>
      <c r="J364" s="10"/>
      <c r="K364" s="86"/>
      <c r="M364" s="11"/>
    </row>
    <row r="365" spans="7:13" s="9" customFormat="1" ht="12.75" customHeight="1">
      <c r="G365" s="10"/>
      <c r="I365" s="10"/>
      <c r="J365" s="10"/>
      <c r="K365" s="86"/>
      <c r="M365" s="11"/>
    </row>
    <row r="366" spans="7:13" s="9" customFormat="1" ht="12.75" customHeight="1">
      <c r="G366" s="10"/>
      <c r="I366" s="10"/>
      <c r="J366" s="10"/>
      <c r="K366" s="86"/>
      <c r="M366" s="11"/>
    </row>
    <row r="367" spans="7:13" s="9" customFormat="1" ht="12.75" customHeight="1">
      <c r="G367" s="10"/>
      <c r="I367" s="10"/>
      <c r="J367" s="10"/>
      <c r="K367" s="86"/>
      <c r="M367" s="11"/>
    </row>
    <row r="368" spans="7:13" s="9" customFormat="1" ht="12.75" customHeight="1">
      <c r="G368" s="10"/>
      <c r="I368" s="10"/>
      <c r="J368" s="10"/>
      <c r="K368" s="86"/>
      <c r="M368" s="11"/>
    </row>
    <row r="369" spans="7:13" s="9" customFormat="1" ht="12.75" customHeight="1">
      <c r="G369" s="10"/>
      <c r="I369" s="10"/>
      <c r="J369" s="10"/>
      <c r="K369" s="86"/>
      <c r="M369" s="11"/>
    </row>
    <row r="370" spans="7:13" s="9" customFormat="1" ht="12.75" customHeight="1">
      <c r="G370" s="10"/>
      <c r="I370" s="10"/>
      <c r="J370" s="10"/>
      <c r="K370" s="86"/>
      <c r="M370" s="11"/>
    </row>
    <row r="371" spans="7:13" s="9" customFormat="1" ht="12.75" customHeight="1">
      <c r="G371" s="10"/>
      <c r="I371" s="10"/>
      <c r="J371" s="10"/>
      <c r="K371" s="86"/>
      <c r="M371" s="11"/>
    </row>
    <row r="372" spans="7:13" s="9" customFormat="1" ht="12.75" customHeight="1">
      <c r="G372" s="10"/>
      <c r="I372" s="10"/>
      <c r="J372" s="10"/>
      <c r="K372" s="86"/>
      <c r="M372" s="11"/>
    </row>
    <row r="373" spans="7:13" s="9" customFormat="1" ht="12.75" customHeight="1">
      <c r="G373" s="10"/>
      <c r="I373" s="10"/>
      <c r="J373" s="10"/>
      <c r="K373" s="86"/>
      <c r="M373" s="11"/>
    </row>
    <row r="374" spans="7:13" s="9" customFormat="1" ht="12.75" customHeight="1">
      <c r="G374" s="10"/>
      <c r="I374" s="10"/>
      <c r="J374" s="10"/>
      <c r="K374" s="86"/>
      <c r="M374" s="11"/>
    </row>
    <row r="375" spans="7:13" s="9" customFormat="1" ht="12.75" customHeight="1">
      <c r="G375" s="10"/>
      <c r="I375" s="10"/>
      <c r="J375" s="10"/>
      <c r="K375" s="86"/>
      <c r="M375" s="11"/>
    </row>
    <row r="376" spans="7:13" s="9" customFormat="1" ht="12.75" customHeight="1">
      <c r="G376" s="10"/>
      <c r="I376" s="10"/>
      <c r="J376" s="10"/>
      <c r="K376" s="86"/>
      <c r="M376" s="11"/>
    </row>
    <row r="377" spans="7:13" s="9" customFormat="1" ht="12.75" customHeight="1">
      <c r="G377" s="10"/>
      <c r="I377" s="10"/>
      <c r="J377" s="10"/>
      <c r="K377" s="86"/>
      <c r="M377" s="11"/>
    </row>
    <row r="378" spans="7:13" s="9" customFormat="1" ht="12.75" customHeight="1">
      <c r="G378" s="10"/>
      <c r="I378" s="10"/>
      <c r="J378" s="10"/>
      <c r="K378" s="86"/>
      <c r="M378" s="11"/>
    </row>
    <row r="379" spans="7:13" s="9" customFormat="1" ht="12.75" customHeight="1">
      <c r="G379" s="10"/>
      <c r="I379" s="10"/>
      <c r="J379" s="10"/>
      <c r="K379" s="86"/>
      <c r="M379" s="11"/>
    </row>
    <row r="380" spans="7:13" s="9" customFormat="1" ht="12.75" customHeight="1">
      <c r="G380" s="10"/>
      <c r="I380" s="10"/>
      <c r="J380" s="10"/>
      <c r="K380" s="86"/>
      <c r="M380" s="11"/>
    </row>
    <row r="381" spans="7:13" s="9" customFormat="1" ht="12.75" customHeight="1">
      <c r="G381" s="10"/>
      <c r="I381" s="10"/>
      <c r="J381" s="10"/>
      <c r="K381" s="86"/>
      <c r="M381" s="11"/>
    </row>
    <row r="382" spans="7:13" s="9" customFormat="1" ht="12.75" customHeight="1">
      <c r="G382" s="10"/>
      <c r="I382" s="10"/>
      <c r="J382" s="10"/>
      <c r="K382" s="86"/>
      <c r="M382" s="11"/>
    </row>
    <row r="383" spans="7:13" s="9" customFormat="1" ht="12.75" customHeight="1">
      <c r="G383" s="10"/>
      <c r="I383" s="10"/>
      <c r="J383" s="10"/>
      <c r="K383" s="86"/>
      <c r="M383" s="11"/>
    </row>
    <row r="384" spans="7:13" s="9" customFormat="1" ht="12.75" customHeight="1">
      <c r="G384" s="10"/>
      <c r="I384" s="10"/>
      <c r="J384" s="10"/>
      <c r="K384" s="86"/>
      <c r="M384" s="11"/>
    </row>
    <row r="385" spans="7:13" s="9" customFormat="1" ht="12.75" customHeight="1">
      <c r="G385" s="10"/>
      <c r="I385" s="10"/>
      <c r="J385" s="10"/>
      <c r="K385" s="86"/>
      <c r="M385" s="11"/>
    </row>
    <row r="386" spans="7:13" s="9" customFormat="1" ht="12.75" customHeight="1">
      <c r="G386" s="10"/>
      <c r="I386" s="10"/>
      <c r="J386" s="10"/>
      <c r="K386" s="86"/>
      <c r="M386" s="11"/>
    </row>
  </sheetData>
  <printOptions gridLines="1" horizontalCentered="1"/>
  <pageMargins left="0.31496062992125984" right="0.31496062992125984" top="0.7480314960629921" bottom="0.5905511811023623" header="0.5118110236220472" footer="0.35433070866141736"/>
  <pageSetup fitToHeight="4" fitToWidth="4" orientation="landscape" paperSize="9" r:id="rId3"/>
  <headerFooter alignWithMargins="0">
    <oddHeader>&amp;C&amp;"Times New Roman CYR,Regular"Теплотехнические расчеты согл.  СНИП-II-3-79*</oddHeader>
    <oddFooter>&amp;CPage &amp;P&amp;R&amp;D       &amp;T</oddFooter>
  </headerFooter>
  <colBreaks count="1" manualBreakCount="1">
    <brk id="9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6"/>
  <sheetViews>
    <sheetView workbookViewId="0" topLeftCell="A37">
      <selection activeCell="C51" sqref="C51"/>
    </sheetView>
  </sheetViews>
  <sheetFormatPr defaultColWidth="9.140625" defaultRowHeight="12.75" customHeight="1"/>
  <cols>
    <col min="1" max="1" width="4.00390625" style="0" customWidth="1"/>
    <col min="2" max="2" width="5.57421875" style="0" customWidth="1"/>
    <col min="3" max="3" width="27.28125" style="0" customWidth="1"/>
    <col min="4" max="4" width="8.7109375" style="3" customWidth="1"/>
    <col min="5" max="5" width="7.7109375" style="0" customWidth="1"/>
    <col min="6" max="6" width="12.28125" style="0" customWidth="1"/>
    <col min="7" max="7" width="7.57421875" style="0" customWidth="1"/>
    <col min="8" max="8" width="10.00390625" style="0" customWidth="1"/>
    <col min="9" max="9" width="7.140625" style="1" customWidth="1"/>
    <col min="10" max="10" width="8.00390625" style="0" customWidth="1"/>
    <col min="12" max="12" width="7.7109375" style="0" customWidth="1"/>
    <col min="13" max="13" width="9.421875" style="0" customWidth="1"/>
    <col min="14" max="14" width="10.421875" style="0" customWidth="1"/>
    <col min="15" max="15" width="8.140625" style="0" customWidth="1"/>
    <col min="16" max="16" width="8.28125" style="1" customWidth="1"/>
    <col min="17" max="17" width="8.28125" style="0" customWidth="1"/>
    <col min="18" max="18" width="10.140625" style="1" customWidth="1"/>
    <col min="19" max="19" width="7.57421875" style="1" customWidth="1"/>
    <col min="20" max="20" width="8.421875" style="0" customWidth="1"/>
    <col min="21" max="21" width="9.421875" style="0" customWidth="1"/>
    <col min="22" max="22" width="12.28125" style="2" customWidth="1"/>
    <col min="23" max="23" width="6.00390625" style="0" customWidth="1"/>
    <col min="24" max="24" width="7.140625" style="0" customWidth="1"/>
    <col min="25" max="25" width="14.00390625" style="0" customWidth="1"/>
    <col min="26" max="26" width="12.8515625" style="0" customWidth="1"/>
    <col min="27" max="27" width="15.57421875" style="0" customWidth="1"/>
    <col min="28" max="28" width="11.8515625" style="0" customWidth="1"/>
    <col min="29" max="29" width="12.8515625" style="0" customWidth="1"/>
    <col min="30" max="30" width="9.421875" style="2" customWidth="1"/>
    <col min="31" max="31" width="8.7109375" style="2" customWidth="1"/>
    <col min="32" max="32" width="7.421875" style="2" customWidth="1"/>
    <col min="33" max="33" width="8.140625" style="2" customWidth="1"/>
    <col min="34" max="34" width="9.57421875" style="787" customWidth="1"/>
    <col min="35" max="35" width="8.8515625" style="788" customWidth="1"/>
    <col min="36" max="36" width="10.140625" style="788" customWidth="1"/>
    <col min="37" max="37" width="10.7109375" style="788" customWidth="1"/>
    <col min="38" max="38" width="9.7109375" style="777" customWidth="1"/>
    <col min="39" max="39" width="13.421875" style="777" customWidth="1"/>
    <col min="40" max="40" width="6.7109375" style="777" customWidth="1"/>
    <col min="41" max="41" width="6.7109375" style="2" customWidth="1"/>
    <col min="42" max="54" width="6.7109375" style="0" customWidth="1"/>
    <col min="55" max="55" width="5.57421875" style="0" customWidth="1"/>
    <col min="56" max="56" width="6.140625" style="0" customWidth="1"/>
    <col min="57" max="68" width="6.7109375" style="0" customWidth="1"/>
    <col min="70" max="70" width="4.140625" style="0" customWidth="1"/>
  </cols>
  <sheetData>
    <row r="1" spans="1:41" ht="12.75" customHeight="1">
      <c r="A1" s="1030" t="s">
        <v>449</v>
      </c>
      <c r="B1" s="1030"/>
      <c r="C1" s="164" t="s">
        <v>450</v>
      </c>
      <c r="D1" s="448"/>
      <c r="E1" s="164"/>
      <c r="F1" s="164"/>
      <c r="G1" s="164"/>
      <c r="H1" s="1031"/>
      <c r="I1" s="164"/>
      <c r="J1" s="94"/>
      <c r="K1" s="164"/>
      <c r="L1" s="94"/>
      <c r="M1" s="94"/>
      <c r="N1" s="94"/>
      <c r="O1" s="1"/>
      <c r="P1"/>
      <c r="Q1" s="1"/>
      <c r="S1"/>
      <c r="U1" s="2"/>
      <c r="V1"/>
      <c r="AC1" s="2"/>
      <c r="AG1" s="787"/>
      <c r="AH1" s="788"/>
      <c r="AK1" s="777"/>
      <c r="AN1" s="2"/>
      <c r="AO1"/>
    </row>
    <row r="2" spans="1:41" ht="12.75" customHeight="1">
      <c r="A2" s="1030">
        <v>1</v>
      </c>
      <c r="B2" s="1030"/>
      <c r="C2" s="104" t="s">
        <v>796</v>
      </c>
      <c r="D2" s="105">
        <v>0</v>
      </c>
      <c r="E2" s="106">
        <v>0</v>
      </c>
      <c r="F2" s="1032">
        <v>0</v>
      </c>
      <c r="G2" s="1032">
        <v>0</v>
      </c>
      <c r="H2" s="1033">
        <v>0</v>
      </c>
      <c r="I2" s="1034">
        <v>0</v>
      </c>
      <c r="J2" s="94"/>
      <c r="K2" s="164"/>
      <c r="L2" s="94"/>
      <c r="M2" s="94"/>
      <c r="N2" s="94"/>
      <c r="P2"/>
      <c r="R2"/>
      <c r="S2"/>
      <c r="U2" s="88"/>
      <c r="V2"/>
      <c r="AD2"/>
      <c r="AE2"/>
      <c r="AG2" s="789"/>
      <c r="AH2" s="788"/>
      <c r="AK2" s="498"/>
      <c r="AL2" s="498"/>
      <c r="AM2" s="498"/>
      <c r="AN2"/>
      <c r="AO2"/>
    </row>
    <row r="3" spans="1:41" ht="12.75" customHeight="1">
      <c r="A3" s="1030">
        <v>2</v>
      </c>
      <c r="B3" s="1030"/>
      <c r="C3" s="1034" t="s">
        <v>451</v>
      </c>
      <c r="D3" s="106">
        <v>0.15</v>
      </c>
      <c r="E3" s="106">
        <v>0.15</v>
      </c>
      <c r="F3" s="1032">
        <v>0</v>
      </c>
      <c r="G3" s="1032">
        <v>0</v>
      </c>
      <c r="H3" s="1033">
        <v>0</v>
      </c>
      <c r="I3" s="1034">
        <v>0</v>
      </c>
      <c r="J3" s="94"/>
      <c r="K3" s="164"/>
      <c r="L3" s="94"/>
      <c r="M3" s="94"/>
      <c r="N3" s="94"/>
      <c r="O3">
        <v>1</v>
      </c>
      <c r="P3"/>
      <c r="R3"/>
      <c r="S3"/>
      <c r="U3" s="89"/>
      <c r="V3"/>
      <c r="AD3"/>
      <c r="AE3"/>
      <c r="AG3" s="789"/>
      <c r="AH3" s="788"/>
      <c r="AK3" s="498"/>
      <c r="AL3" s="498"/>
      <c r="AM3" s="498"/>
      <c r="AN3"/>
      <c r="AO3"/>
    </row>
    <row r="4" spans="1:41" ht="12.75" customHeight="1" thickBot="1">
      <c r="A4" s="1030">
        <v>3</v>
      </c>
      <c r="B4" s="1030"/>
      <c r="C4" s="1034" t="s">
        <v>452</v>
      </c>
      <c r="D4" s="106">
        <v>0.16</v>
      </c>
      <c r="E4" s="106">
        <v>0.16</v>
      </c>
      <c r="F4" s="1032">
        <v>0</v>
      </c>
      <c r="G4" s="1032">
        <v>0</v>
      </c>
      <c r="H4" s="1033">
        <v>0</v>
      </c>
      <c r="I4" s="1034">
        <v>0</v>
      </c>
      <c r="J4" s="94"/>
      <c r="K4" s="164"/>
      <c r="L4" s="94"/>
      <c r="M4" s="94"/>
      <c r="N4" s="94"/>
      <c r="O4">
        <v>1</v>
      </c>
      <c r="P4"/>
      <c r="R4"/>
      <c r="S4"/>
      <c r="U4" s="90"/>
      <c r="V4"/>
      <c r="AD4"/>
      <c r="AE4"/>
      <c r="AG4" s="789"/>
      <c r="AH4" s="788"/>
      <c r="AK4" s="498"/>
      <c r="AL4" s="498"/>
      <c r="AM4" s="498"/>
      <c r="AN4"/>
      <c r="AO4"/>
    </row>
    <row r="5" spans="1:41" ht="12.75" customHeight="1" thickBot="1">
      <c r="A5" s="1030">
        <v>4</v>
      </c>
      <c r="B5" s="1030"/>
      <c r="C5" s="1034" t="s">
        <v>453</v>
      </c>
      <c r="D5" s="106">
        <v>0.17</v>
      </c>
      <c r="E5" s="106">
        <v>0.17</v>
      </c>
      <c r="F5" s="1032">
        <v>0</v>
      </c>
      <c r="G5" s="1032">
        <v>0</v>
      </c>
      <c r="H5" s="1033">
        <v>0</v>
      </c>
      <c r="I5" s="1034">
        <v>0</v>
      </c>
      <c r="J5" s="1035" t="s">
        <v>454</v>
      </c>
      <c r="K5" s="1036"/>
      <c r="L5" s="1037"/>
      <c r="M5" s="1037" t="s">
        <v>455</v>
      </c>
      <c r="N5" s="94"/>
      <c r="O5">
        <v>1</v>
      </c>
      <c r="P5"/>
      <c r="R5"/>
      <c r="S5"/>
      <c r="U5" s="39"/>
      <c r="V5"/>
      <c r="AD5"/>
      <c r="AE5"/>
      <c r="AG5" s="789"/>
      <c r="AH5" s="788"/>
      <c r="AK5" s="498"/>
      <c r="AL5" s="498"/>
      <c r="AM5" s="498"/>
      <c r="AN5"/>
      <c r="AO5"/>
    </row>
    <row r="6" spans="1:41" ht="12.75" customHeight="1">
      <c r="A6" s="1030">
        <v>5</v>
      </c>
      <c r="B6" s="1030"/>
      <c r="C6" s="1034" t="s">
        <v>456</v>
      </c>
      <c r="D6" s="106">
        <v>0.18</v>
      </c>
      <c r="E6" s="106">
        <v>0.18</v>
      </c>
      <c r="F6" s="1032">
        <v>0</v>
      </c>
      <c r="G6" s="1032">
        <v>0</v>
      </c>
      <c r="H6" s="1033">
        <v>0</v>
      </c>
      <c r="I6" s="1034">
        <v>0</v>
      </c>
      <c r="J6" s="1038" t="s">
        <v>457</v>
      </c>
      <c r="K6" s="1039"/>
      <c r="L6" s="1040" t="s">
        <v>458</v>
      </c>
      <c r="M6" s="1038" t="s">
        <v>459</v>
      </c>
      <c r="N6" s="94"/>
      <c r="O6">
        <v>1</v>
      </c>
      <c r="P6"/>
      <c r="R6"/>
      <c r="S6"/>
      <c r="U6" s="39"/>
      <c r="V6"/>
      <c r="AD6"/>
      <c r="AE6"/>
      <c r="AG6" s="789"/>
      <c r="AH6" s="788"/>
      <c r="AK6" s="498"/>
      <c r="AL6" s="498"/>
      <c r="AM6" s="498"/>
      <c r="AN6"/>
      <c r="AO6"/>
    </row>
    <row r="7" spans="1:41" ht="15" customHeight="1" thickBot="1">
      <c r="A7" s="1041">
        <v>6</v>
      </c>
      <c r="B7" s="1041"/>
      <c r="C7" s="108" t="s">
        <v>460</v>
      </c>
      <c r="D7" s="1042" t="s">
        <v>461</v>
      </c>
      <c r="E7" s="1042" t="s">
        <v>462</v>
      </c>
      <c r="F7" s="1043" t="s">
        <v>36</v>
      </c>
      <c r="G7" s="1043" t="s">
        <v>37</v>
      </c>
      <c r="H7" s="1044" t="s">
        <v>30</v>
      </c>
      <c r="I7" s="1045" t="s">
        <v>31</v>
      </c>
      <c r="J7" s="1046" t="s">
        <v>463</v>
      </c>
      <c r="K7" s="1047" t="s">
        <v>464</v>
      </c>
      <c r="L7" s="1048" t="s">
        <v>38</v>
      </c>
      <c r="M7" s="1049" t="s">
        <v>465</v>
      </c>
      <c r="N7" s="94"/>
      <c r="O7">
        <v>0</v>
      </c>
      <c r="P7"/>
      <c r="R7"/>
      <c r="S7"/>
      <c r="U7" s="39"/>
      <c r="V7"/>
      <c r="AD7"/>
      <c r="AE7"/>
      <c r="AG7" s="789"/>
      <c r="AH7" s="788"/>
      <c r="AK7" s="498"/>
      <c r="AL7" s="498"/>
      <c r="AM7" s="498"/>
      <c r="AN7"/>
      <c r="AO7"/>
    </row>
    <row r="8" spans="1:41" ht="12.75" customHeight="1">
      <c r="A8" s="1041">
        <v>7</v>
      </c>
      <c r="B8" s="1041"/>
      <c r="C8" s="1050" t="s">
        <v>466</v>
      </c>
      <c r="D8" s="1051">
        <v>1.92</v>
      </c>
      <c r="E8" s="1052">
        <v>2.04</v>
      </c>
      <c r="F8" s="1032">
        <v>17.98</v>
      </c>
      <c r="G8" s="1032">
        <v>18.95</v>
      </c>
      <c r="H8" s="1033">
        <v>0.03</v>
      </c>
      <c r="I8" s="1034">
        <v>2500</v>
      </c>
      <c r="J8" s="1053">
        <v>10620</v>
      </c>
      <c r="K8" s="1054">
        <v>100</v>
      </c>
      <c r="L8" s="1034">
        <v>2</v>
      </c>
      <c r="M8" s="1055">
        <v>0.7</v>
      </c>
      <c r="N8" s="94"/>
      <c r="O8">
        <v>0</v>
      </c>
      <c r="P8" s="493"/>
      <c r="R8"/>
      <c r="S8"/>
      <c r="U8" s="39"/>
      <c r="V8"/>
      <c r="AD8"/>
      <c r="AE8"/>
      <c r="AG8" s="789"/>
      <c r="AH8" s="788"/>
      <c r="AK8" s="498"/>
      <c r="AL8" s="498"/>
      <c r="AM8" s="498"/>
      <c r="AN8"/>
      <c r="AO8"/>
    </row>
    <row r="9" spans="1:41" ht="12.75" customHeight="1">
      <c r="A9" s="1041">
        <v>8</v>
      </c>
      <c r="B9" s="1041"/>
      <c r="C9" s="1050" t="s">
        <v>467</v>
      </c>
      <c r="D9" s="1051">
        <v>1.74</v>
      </c>
      <c r="E9" s="1052">
        <v>1.86</v>
      </c>
      <c r="F9" s="1032">
        <v>16.77</v>
      </c>
      <c r="G9" s="1032">
        <v>55</v>
      </c>
      <c r="H9" s="1033">
        <v>0.03</v>
      </c>
      <c r="I9" s="1034">
        <v>2400</v>
      </c>
      <c r="J9" s="1053">
        <v>19620</v>
      </c>
      <c r="K9" s="1054">
        <v>100</v>
      </c>
      <c r="L9" s="1034">
        <v>2</v>
      </c>
      <c r="M9" s="1056">
        <v>0.7</v>
      </c>
      <c r="N9" s="94"/>
      <c r="O9">
        <v>0</v>
      </c>
      <c r="P9"/>
      <c r="R9"/>
      <c r="S9"/>
      <c r="U9" s="39"/>
      <c r="V9"/>
      <c r="AD9"/>
      <c r="AE9"/>
      <c r="AG9" s="789"/>
      <c r="AH9" s="788"/>
      <c r="AK9" s="498"/>
      <c r="AL9" s="498"/>
      <c r="AM9" s="498"/>
      <c r="AN9"/>
      <c r="AO9"/>
    </row>
    <row r="10" spans="1:41" ht="12.75" customHeight="1">
      <c r="A10" s="1041">
        <v>9</v>
      </c>
      <c r="B10" s="1041"/>
      <c r="C10" s="1050" t="s">
        <v>468</v>
      </c>
      <c r="D10" s="111">
        <v>0.52</v>
      </c>
      <c r="E10" s="112">
        <v>0.58</v>
      </c>
      <c r="F10" s="1032">
        <v>6.77</v>
      </c>
      <c r="G10" s="1032">
        <v>7.72</v>
      </c>
      <c r="H10" s="106">
        <v>0.075</v>
      </c>
      <c r="I10" s="1034">
        <v>1200</v>
      </c>
      <c r="J10" s="1053">
        <v>590</v>
      </c>
      <c r="K10" s="1054">
        <v>300</v>
      </c>
      <c r="L10" s="1034">
        <v>5</v>
      </c>
      <c r="M10" s="1056">
        <v>0.7</v>
      </c>
      <c r="N10" s="94"/>
      <c r="O10">
        <v>0</v>
      </c>
      <c r="P10"/>
      <c r="R10"/>
      <c r="S10"/>
      <c r="U10" s="39"/>
      <c r="V10"/>
      <c r="AD10"/>
      <c r="AE10"/>
      <c r="AG10" s="789"/>
      <c r="AH10" s="788"/>
      <c r="AK10" s="498"/>
      <c r="AL10" s="498"/>
      <c r="AM10" s="498"/>
      <c r="AN10"/>
      <c r="AO10"/>
    </row>
    <row r="11" spans="1:41" ht="12.75" customHeight="1">
      <c r="A11" s="1041">
        <v>10</v>
      </c>
      <c r="B11" s="1041"/>
      <c r="C11" s="1050" t="s">
        <v>469</v>
      </c>
      <c r="D11" s="111">
        <v>0.41</v>
      </c>
      <c r="E11" s="112">
        <v>0.47</v>
      </c>
      <c r="F11" s="1032">
        <v>5.49</v>
      </c>
      <c r="G11" s="1032">
        <v>6.35</v>
      </c>
      <c r="H11" s="106">
        <v>0.075</v>
      </c>
      <c r="I11" s="1034">
        <v>1000</v>
      </c>
      <c r="J11" s="1053">
        <v>80</v>
      </c>
      <c r="K11" s="1054">
        <v>300</v>
      </c>
      <c r="L11" s="1034">
        <v>5</v>
      </c>
      <c r="M11" s="1056">
        <v>0.7</v>
      </c>
      <c r="N11" s="94"/>
      <c r="O11">
        <v>0</v>
      </c>
      <c r="P11"/>
      <c r="R11"/>
      <c r="S11"/>
      <c r="U11" s="39"/>
      <c r="V11"/>
      <c r="AD11"/>
      <c r="AE11"/>
      <c r="AG11" s="789"/>
      <c r="AH11" s="788"/>
      <c r="AK11" s="498"/>
      <c r="AL11" s="498"/>
      <c r="AM11" s="498"/>
      <c r="AN11"/>
      <c r="AO11"/>
    </row>
    <row r="12" spans="1:41" ht="12.75" customHeight="1">
      <c r="A12" s="1041">
        <v>11</v>
      </c>
      <c r="B12" s="1041"/>
      <c r="C12" s="1050" t="s">
        <v>470</v>
      </c>
      <c r="D12" s="111">
        <v>0.35</v>
      </c>
      <c r="E12" s="112">
        <v>0.41</v>
      </c>
      <c r="F12" s="1032">
        <v>5.57</v>
      </c>
      <c r="G12" s="1032">
        <v>6.43</v>
      </c>
      <c r="H12" s="106">
        <v>0.15</v>
      </c>
      <c r="I12" s="1034">
        <v>800</v>
      </c>
      <c r="J12" s="1053">
        <v>80</v>
      </c>
      <c r="K12" s="1054">
        <v>300</v>
      </c>
      <c r="L12" s="1034">
        <v>5</v>
      </c>
      <c r="M12" s="1056">
        <v>0.7</v>
      </c>
      <c r="N12" s="94"/>
      <c r="O12">
        <v>0</v>
      </c>
      <c r="P12"/>
      <c r="R12"/>
      <c r="S12"/>
      <c r="U12" s="39"/>
      <c r="V12"/>
      <c r="AD12"/>
      <c r="AE12"/>
      <c r="AG12" s="789"/>
      <c r="AH12" s="788"/>
      <c r="AK12" s="498"/>
      <c r="AL12" s="498"/>
      <c r="AM12" s="498"/>
      <c r="AN12"/>
      <c r="AO12"/>
    </row>
    <row r="13" spans="1:41" ht="12.75" customHeight="1">
      <c r="A13" s="1041">
        <v>12</v>
      </c>
      <c r="B13" s="1041"/>
      <c r="C13" s="1050" t="s">
        <v>471</v>
      </c>
      <c r="D13" s="111">
        <v>0.56</v>
      </c>
      <c r="E13" s="112">
        <v>0.65</v>
      </c>
      <c r="F13" s="1032">
        <v>7.75</v>
      </c>
      <c r="G13" s="1032">
        <v>9.14</v>
      </c>
      <c r="H13" s="106">
        <v>0.17</v>
      </c>
      <c r="I13" s="1034">
        <v>1400</v>
      </c>
      <c r="J13" s="1053">
        <v>80</v>
      </c>
      <c r="K13" s="1054">
        <v>300</v>
      </c>
      <c r="L13" s="1034">
        <v>5</v>
      </c>
      <c r="M13" s="1056">
        <v>0.7</v>
      </c>
      <c r="N13" s="94"/>
      <c r="O13">
        <v>0</v>
      </c>
      <c r="P13"/>
      <c r="R13"/>
      <c r="S13"/>
      <c r="U13" s="39"/>
      <c r="V13"/>
      <c r="AD13"/>
      <c r="AE13"/>
      <c r="AG13" s="789"/>
      <c r="AH13" s="788"/>
      <c r="AK13" s="498"/>
      <c r="AL13" s="498"/>
      <c r="AM13" s="498"/>
      <c r="AN13"/>
      <c r="AO13"/>
    </row>
    <row r="14" spans="1:41" ht="12.75" customHeight="1">
      <c r="A14" s="1041">
        <v>13</v>
      </c>
      <c r="B14" s="1041"/>
      <c r="C14" s="1050" t="s">
        <v>472</v>
      </c>
      <c r="D14" s="111">
        <v>0.44</v>
      </c>
      <c r="E14" s="112">
        <v>0.52</v>
      </c>
      <c r="F14" s="1032">
        <v>6.33</v>
      </c>
      <c r="G14" s="1032">
        <v>7.57</v>
      </c>
      <c r="H14" s="1033">
        <v>0.11</v>
      </c>
      <c r="I14" s="1034">
        <v>1200</v>
      </c>
      <c r="J14" s="1053">
        <v>80</v>
      </c>
      <c r="K14" s="1054">
        <v>300</v>
      </c>
      <c r="L14" s="1034">
        <v>5</v>
      </c>
      <c r="M14" s="1056">
        <v>0.7</v>
      </c>
      <c r="N14" s="94"/>
      <c r="O14">
        <v>0</v>
      </c>
      <c r="P14"/>
      <c r="R14"/>
      <c r="S14"/>
      <c r="U14" s="39"/>
      <c r="V14"/>
      <c r="AD14"/>
      <c r="AE14"/>
      <c r="AG14" s="789"/>
      <c r="AH14" s="788"/>
      <c r="AK14" s="498"/>
      <c r="AL14" s="498"/>
      <c r="AM14" s="498"/>
      <c r="AN14"/>
      <c r="AO14"/>
    </row>
    <row r="15" spans="1:41" ht="12.75" customHeight="1">
      <c r="A15" s="1041">
        <v>14</v>
      </c>
      <c r="B15" s="1041"/>
      <c r="C15" s="1050" t="s">
        <v>473</v>
      </c>
      <c r="D15" s="111">
        <v>0.33</v>
      </c>
      <c r="E15" s="112">
        <v>0.41</v>
      </c>
      <c r="F15" s="1032">
        <v>5.03</v>
      </c>
      <c r="G15" s="1032">
        <v>6.13</v>
      </c>
      <c r="H15" s="1033">
        <v>0.14</v>
      </c>
      <c r="I15" s="1034">
        <v>1000</v>
      </c>
      <c r="J15" s="1053">
        <v>196</v>
      </c>
      <c r="K15" s="1054">
        <v>300</v>
      </c>
      <c r="L15" s="1034">
        <v>5</v>
      </c>
      <c r="M15" s="1056">
        <v>0.7</v>
      </c>
      <c r="N15" s="94"/>
      <c r="O15">
        <v>0</v>
      </c>
      <c r="P15"/>
      <c r="R15"/>
      <c r="S15"/>
      <c r="U15" s="39"/>
      <c r="V15"/>
      <c r="AD15"/>
      <c r="AE15"/>
      <c r="AG15" s="789"/>
      <c r="AH15" s="788"/>
      <c r="AK15" s="498"/>
      <c r="AL15" s="498"/>
      <c r="AM15" s="498"/>
      <c r="AN15"/>
      <c r="AO15"/>
    </row>
    <row r="16" spans="1:41" ht="12.75" customHeight="1">
      <c r="A16" s="1041">
        <v>15</v>
      </c>
      <c r="B16" s="1041"/>
      <c r="C16" s="1050" t="s">
        <v>474</v>
      </c>
      <c r="D16" s="111">
        <v>0.24</v>
      </c>
      <c r="E16" s="112">
        <v>0.31</v>
      </c>
      <c r="F16" s="1032">
        <v>3.83</v>
      </c>
      <c r="G16" s="1032">
        <v>4.77</v>
      </c>
      <c r="H16" s="1033">
        <v>0.19</v>
      </c>
      <c r="I16" s="1034">
        <v>800</v>
      </c>
      <c r="J16" s="1053">
        <v>196</v>
      </c>
      <c r="K16" s="1054">
        <v>300</v>
      </c>
      <c r="L16" s="1034">
        <v>5</v>
      </c>
      <c r="M16" s="1056">
        <v>0.7</v>
      </c>
      <c r="N16" s="94"/>
      <c r="O16">
        <v>0</v>
      </c>
      <c r="P16"/>
      <c r="R16"/>
      <c r="S16"/>
      <c r="U16" s="39"/>
      <c r="V16"/>
      <c r="AD16"/>
      <c r="AE16"/>
      <c r="AG16" s="789"/>
      <c r="AH16" s="788"/>
      <c r="AK16" s="498"/>
      <c r="AL16" s="498"/>
      <c r="AM16" s="498"/>
      <c r="AN16"/>
      <c r="AO16"/>
    </row>
    <row r="17" spans="1:41" ht="12.75" customHeight="1">
      <c r="A17" s="1041">
        <v>16</v>
      </c>
      <c r="B17" s="1041"/>
      <c r="C17" s="1050" t="s">
        <v>475</v>
      </c>
      <c r="D17" s="111">
        <v>0.33</v>
      </c>
      <c r="E17" s="112">
        <v>0.38</v>
      </c>
      <c r="F17" s="1032">
        <v>5.5</v>
      </c>
      <c r="G17" s="1032">
        <v>6.38</v>
      </c>
      <c r="H17" s="1033">
        <v>0.19</v>
      </c>
      <c r="I17" s="1034">
        <v>1000</v>
      </c>
      <c r="J17" s="1053">
        <v>196</v>
      </c>
      <c r="K17" s="1054">
        <v>100</v>
      </c>
      <c r="L17" s="1034">
        <v>5</v>
      </c>
      <c r="M17" s="1056">
        <v>0.7</v>
      </c>
      <c r="N17" s="94"/>
      <c r="O17">
        <v>0</v>
      </c>
      <c r="P17"/>
      <c r="R17"/>
      <c r="S17"/>
      <c r="U17" s="39"/>
      <c r="V17"/>
      <c r="AD17"/>
      <c r="AE17"/>
      <c r="AG17" s="789"/>
      <c r="AH17" s="788"/>
      <c r="AK17" s="498"/>
      <c r="AL17" s="498"/>
      <c r="AM17" s="498"/>
      <c r="AN17"/>
      <c r="AO17"/>
    </row>
    <row r="18" spans="1:41" ht="12.75" customHeight="1">
      <c r="A18" s="1041">
        <v>17</v>
      </c>
      <c r="B18" s="1041"/>
      <c r="C18" s="1050" t="s">
        <v>476</v>
      </c>
      <c r="D18" s="111">
        <v>0.27</v>
      </c>
      <c r="E18" s="112">
        <v>0.33</v>
      </c>
      <c r="F18" s="1032">
        <v>4.55</v>
      </c>
      <c r="G18" s="1032">
        <v>5.32</v>
      </c>
      <c r="H18" s="1033">
        <v>0.26</v>
      </c>
      <c r="I18" s="1034">
        <v>800</v>
      </c>
      <c r="J18" s="1053">
        <v>196</v>
      </c>
      <c r="K18" s="1054">
        <v>100</v>
      </c>
      <c r="L18" s="1034">
        <v>5</v>
      </c>
      <c r="M18" s="1056">
        <v>0.7</v>
      </c>
      <c r="N18" s="94"/>
      <c r="O18">
        <v>0</v>
      </c>
      <c r="P18"/>
      <c r="R18"/>
      <c r="S18"/>
      <c r="U18" s="39"/>
      <c r="V18"/>
      <c r="AD18"/>
      <c r="AE18"/>
      <c r="AG18" s="789"/>
      <c r="AH18" s="788"/>
      <c r="AK18" s="498"/>
      <c r="AL18" s="498"/>
      <c r="AM18" s="498"/>
      <c r="AN18"/>
      <c r="AO18"/>
    </row>
    <row r="19" spans="1:41" ht="12.75" customHeight="1">
      <c r="A19" s="1041">
        <v>18</v>
      </c>
      <c r="B19" s="1041"/>
      <c r="C19" s="1050" t="s">
        <v>477</v>
      </c>
      <c r="D19" s="111">
        <v>0.15</v>
      </c>
      <c r="E19" s="112">
        <v>0.19</v>
      </c>
      <c r="F19" s="1032">
        <v>3.24</v>
      </c>
      <c r="G19" s="1032">
        <v>3.84</v>
      </c>
      <c r="H19" s="1033">
        <v>0.3</v>
      </c>
      <c r="I19" s="1034">
        <v>600</v>
      </c>
      <c r="J19" s="1053">
        <v>196</v>
      </c>
      <c r="K19" s="1054">
        <v>100</v>
      </c>
      <c r="L19" s="1034">
        <v>5</v>
      </c>
      <c r="M19" s="1056">
        <v>0.7</v>
      </c>
      <c r="N19" s="94"/>
      <c r="O19">
        <v>0</v>
      </c>
      <c r="P19"/>
      <c r="R19"/>
      <c r="S19"/>
      <c r="U19" s="39"/>
      <c r="V19"/>
      <c r="AD19"/>
      <c r="AE19"/>
      <c r="AG19" s="789"/>
      <c r="AH19" s="788"/>
      <c r="AK19" s="498"/>
      <c r="AL19" s="498"/>
      <c r="AM19" s="498"/>
      <c r="AN19"/>
      <c r="AO19"/>
    </row>
    <row r="20" spans="1:41" ht="12.75" customHeight="1">
      <c r="A20" s="1041">
        <v>19</v>
      </c>
      <c r="B20" s="1041"/>
      <c r="C20" s="1050" t="s">
        <v>478</v>
      </c>
      <c r="D20" s="111">
        <v>0.33</v>
      </c>
      <c r="E20" s="112">
        <v>0.37</v>
      </c>
      <c r="F20" s="1032">
        <v>4.92</v>
      </c>
      <c r="G20" s="1032">
        <v>5.63</v>
      </c>
      <c r="H20" s="1033">
        <v>0.14</v>
      </c>
      <c r="I20" s="1034">
        <v>800</v>
      </c>
      <c r="J20" s="1053">
        <v>196</v>
      </c>
      <c r="K20" s="1054">
        <v>100</v>
      </c>
      <c r="L20" s="1034">
        <v>6</v>
      </c>
      <c r="M20" s="1056">
        <v>0.7</v>
      </c>
      <c r="N20" s="94"/>
      <c r="O20">
        <v>0</v>
      </c>
      <c r="P20"/>
      <c r="R20"/>
      <c r="S20"/>
      <c r="U20" s="39"/>
      <c r="V20"/>
      <c r="AD20"/>
      <c r="AE20"/>
      <c r="AG20" s="789"/>
      <c r="AH20" s="788"/>
      <c r="AK20" s="498"/>
      <c r="AL20" s="498"/>
      <c r="AM20" s="498"/>
      <c r="AN20"/>
      <c r="AO20"/>
    </row>
    <row r="21" spans="1:41" ht="12.75" customHeight="1">
      <c r="A21" s="1041">
        <v>20</v>
      </c>
      <c r="B21" s="1041"/>
      <c r="C21" s="1050" t="s">
        <v>479</v>
      </c>
      <c r="D21" s="111">
        <v>0.22</v>
      </c>
      <c r="E21" s="112">
        <v>0.26</v>
      </c>
      <c r="F21" s="1032">
        <v>3.36</v>
      </c>
      <c r="G21" s="1032">
        <v>3.91</v>
      </c>
      <c r="H21" s="1033">
        <v>0.17</v>
      </c>
      <c r="I21" s="1034">
        <v>600</v>
      </c>
      <c r="J21" s="1053">
        <v>196</v>
      </c>
      <c r="K21" s="1054">
        <v>100</v>
      </c>
      <c r="L21" s="1034">
        <v>6</v>
      </c>
      <c r="M21" s="1056">
        <v>0.7</v>
      </c>
      <c r="N21" s="94"/>
      <c r="O21">
        <v>0</v>
      </c>
      <c r="P21"/>
      <c r="R21"/>
      <c r="S21"/>
      <c r="U21" s="39"/>
      <c r="V21"/>
      <c r="AD21"/>
      <c r="AE21"/>
      <c r="AG21" s="789"/>
      <c r="AH21" s="788"/>
      <c r="AK21" s="498"/>
      <c r="AL21" s="498"/>
      <c r="AM21" s="498"/>
      <c r="AN21"/>
      <c r="AO21"/>
    </row>
    <row r="22" spans="1:41" ht="12.75" customHeight="1">
      <c r="A22" s="1041">
        <v>21</v>
      </c>
      <c r="B22" s="1041"/>
      <c r="C22" s="1050" t="s">
        <v>480</v>
      </c>
      <c r="D22" s="111">
        <v>0.18</v>
      </c>
      <c r="E22" s="112">
        <v>0.21</v>
      </c>
      <c r="F22" s="1032">
        <v>2.8</v>
      </c>
      <c r="G22" s="1032">
        <v>3.2</v>
      </c>
      <c r="H22" s="1033">
        <v>0.23</v>
      </c>
      <c r="I22" s="1034">
        <v>500</v>
      </c>
      <c r="J22" s="1053">
        <v>196</v>
      </c>
      <c r="K22" s="1054">
        <v>100</v>
      </c>
      <c r="L22" s="1034">
        <v>6</v>
      </c>
      <c r="M22" s="1056">
        <v>0.7</v>
      </c>
      <c r="N22" s="94"/>
      <c r="O22">
        <v>0</v>
      </c>
      <c r="P22"/>
      <c r="R22"/>
      <c r="S22"/>
      <c r="U22" s="39"/>
      <c r="V22"/>
      <c r="AD22"/>
      <c r="AE22"/>
      <c r="AG22" s="789"/>
      <c r="AH22" s="788"/>
      <c r="AK22" s="498"/>
      <c r="AL22" s="498"/>
      <c r="AM22" s="498"/>
      <c r="AN22"/>
      <c r="AO22"/>
    </row>
    <row r="23" spans="1:41" ht="12.75" customHeight="1">
      <c r="A23" s="1041">
        <v>22</v>
      </c>
      <c r="B23" s="1041"/>
      <c r="C23" s="1057" t="s">
        <v>481</v>
      </c>
      <c r="D23" s="112"/>
      <c r="E23" s="112"/>
      <c r="F23" s="1032"/>
      <c r="G23" s="1032"/>
      <c r="H23" s="1033"/>
      <c r="I23" s="1034"/>
      <c r="J23" s="1053"/>
      <c r="K23" s="1054"/>
      <c r="L23" s="1034"/>
      <c r="M23" s="1056"/>
      <c r="N23" s="94"/>
      <c r="O23">
        <v>0</v>
      </c>
      <c r="P23"/>
      <c r="R23"/>
      <c r="S23"/>
      <c r="U23" s="39"/>
      <c r="V23"/>
      <c r="AD23"/>
      <c r="AE23"/>
      <c r="AG23" s="789"/>
      <c r="AH23" s="788"/>
      <c r="AK23" s="498"/>
      <c r="AL23" s="498"/>
      <c r="AM23" s="498"/>
      <c r="AN23"/>
      <c r="AO23"/>
    </row>
    <row r="24" spans="1:41" ht="12.75" customHeight="1">
      <c r="A24" s="1041">
        <v>23</v>
      </c>
      <c r="B24" s="1041"/>
      <c r="C24" s="1050" t="s">
        <v>482</v>
      </c>
      <c r="D24" s="112">
        <v>0.76</v>
      </c>
      <c r="E24" s="112">
        <v>0.93</v>
      </c>
      <c r="F24" s="1032">
        <v>9.6</v>
      </c>
      <c r="G24" s="1032">
        <v>11.09</v>
      </c>
      <c r="H24" s="1033">
        <v>0.09</v>
      </c>
      <c r="I24" s="1034">
        <v>1800</v>
      </c>
      <c r="J24" s="1053">
        <v>373</v>
      </c>
      <c r="K24" s="1054">
        <v>15</v>
      </c>
      <c r="L24" s="1034"/>
      <c r="M24" s="1056">
        <v>0.4</v>
      </c>
      <c r="N24" s="94"/>
      <c r="O24">
        <v>0</v>
      </c>
      <c r="P24"/>
      <c r="R24"/>
      <c r="S24"/>
      <c r="U24" s="39"/>
      <c r="V24"/>
      <c r="AD24"/>
      <c r="AE24"/>
      <c r="AG24" s="789"/>
      <c r="AH24" s="788"/>
      <c r="AK24" s="498"/>
      <c r="AL24" s="498"/>
      <c r="AM24" s="498"/>
      <c r="AN24"/>
      <c r="AO24"/>
    </row>
    <row r="25" spans="1:41" ht="12.75" customHeight="1">
      <c r="A25" s="1030">
        <v>24</v>
      </c>
      <c r="B25" s="1030"/>
      <c r="C25" s="110" t="s">
        <v>483</v>
      </c>
      <c r="D25" s="111">
        <v>0.7</v>
      </c>
      <c r="E25" s="112">
        <v>0.81</v>
      </c>
      <c r="F25" s="1032">
        <v>8.69</v>
      </c>
      <c r="G25" s="1032">
        <v>9.76</v>
      </c>
      <c r="H25" s="1033">
        <v>0.12</v>
      </c>
      <c r="I25" s="1034">
        <v>1700</v>
      </c>
      <c r="J25" s="1053">
        <v>142</v>
      </c>
      <c r="K25" s="1054">
        <v>15</v>
      </c>
      <c r="L25" s="1034"/>
      <c r="M25" s="1056">
        <v>0.3</v>
      </c>
      <c r="N25" s="94"/>
      <c r="O25">
        <v>0</v>
      </c>
      <c r="P25"/>
      <c r="R25"/>
      <c r="S25"/>
      <c r="U25" s="39"/>
      <c r="V25"/>
      <c r="AD25"/>
      <c r="AE25"/>
      <c r="AG25" s="789"/>
      <c r="AH25" s="788"/>
      <c r="AK25" s="498"/>
      <c r="AL25" s="498"/>
      <c r="AM25" s="498"/>
      <c r="AN25"/>
      <c r="AO25"/>
    </row>
    <row r="26" spans="1:41" ht="12.75" customHeight="1">
      <c r="A26" s="1030">
        <v>25</v>
      </c>
      <c r="B26" s="1030"/>
      <c r="C26" s="110" t="s">
        <v>484</v>
      </c>
      <c r="D26" s="112">
        <v>0.15</v>
      </c>
      <c r="E26" s="112">
        <v>0.19</v>
      </c>
      <c r="F26" s="1032">
        <v>2.44</v>
      </c>
      <c r="G26" s="1032">
        <v>2.95</v>
      </c>
      <c r="H26" s="1033">
        <v>0.43</v>
      </c>
      <c r="I26" s="1034">
        <v>500</v>
      </c>
      <c r="J26" s="1053">
        <v>17</v>
      </c>
      <c r="K26" s="1054">
        <v>20</v>
      </c>
      <c r="L26" s="1034"/>
      <c r="M26" s="1056">
        <v>0.3</v>
      </c>
      <c r="N26" s="94"/>
      <c r="O26">
        <v>0</v>
      </c>
      <c r="P26"/>
      <c r="R26"/>
      <c r="S26"/>
      <c r="U26" s="39"/>
      <c r="V26"/>
      <c r="AD26"/>
      <c r="AE26"/>
      <c r="AG26" s="789"/>
      <c r="AH26" s="788"/>
      <c r="AK26" s="498"/>
      <c r="AL26" s="498"/>
      <c r="AM26" s="498"/>
      <c r="AN26"/>
      <c r="AO26"/>
    </row>
    <row r="27" spans="1:41" ht="12.75" customHeight="1">
      <c r="A27" s="1030">
        <v>26</v>
      </c>
      <c r="B27" s="1030"/>
      <c r="C27" s="110" t="s">
        <v>485</v>
      </c>
      <c r="D27" s="112">
        <v>0.29</v>
      </c>
      <c r="E27" s="112">
        <v>0.35</v>
      </c>
      <c r="F27" s="1032">
        <v>4.62</v>
      </c>
      <c r="G27" s="1032">
        <v>5.28</v>
      </c>
      <c r="H27" s="1033">
        <v>0.11</v>
      </c>
      <c r="I27" s="1034">
        <v>1000</v>
      </c>
      <c r="J27" s="1053">
        <v>17</v>
      </c>
      <c r="K27" s="1054">
        <v>20</v>
      </c>
      <c r="L27" s="1034"/>
      <c r="M27" s="1056">
        <v>0.3</v>
      </c>
      <c r="N27" s="94"/>
      <c r="O27">
        <v>0</v>
      </c>
      <c r="P27"/>
      <c r="R27"/>
      <c r="S27"/>
      <c r="U27" s="39"/>
      <c r="V27"/>
      <c r="AD27"/>
      <c r="AE27"/>
      <c r="AG27" s="789"/>
      <c r="AH27" s="788"/>
      <c r="AK27" s="498"/>
      <c r="AL27" s="498"/>
      <c r="AM27" s="498"/>
      <c r="AN27"/>
      <c r="AO27"/>
    </row>
    <row r="28" spans="1:41" ht="12.75" customHeight="1">
      <c r="A28" s="1030">
        <v>27</v>
      </c>
      <c r="B28" s="1030"/>
      <c r="C28" s="108" t="s">
        <v>486</v>
      </c>
      <c r="D28" s="112"/>
      <c r="E28" s="112"/>
      <c r="F28" s="1032"/>
      <c r="G28" s="1032"/>
      <c r="H28" s="1033"/>
      <c r="I28" s="1034"/>
      <c r="J28" s="1053"/>
      <c r="K28" s="1054"/>
      <c r="L28" s="1034"/>
      <c r="M28" s="1056"/>
      <c r="N28" s="94"/>
      <c r="O28">
        <v>0</v>
      </c>
      <c r="P28"/>
      <c r="R28"/>
      <c r="S28"/>
      <c r="U28" s="39"/>
      <c r="V28"/>
      <c r="AD28"/>
      <c r="AE28"/>
      <c r="AG28" s="789"/>
      <c r="AH28" s="788"/>
      <c r="AK28" s="498"/>
      <c r="AL28" s="498"/>
      <c r="AM28" s="498"/>
      <c r="AN28"/>
      <c r="AO28"/>
    </row>
    <row r="29" spans="1:41" ht="12.75" customHeight="1">
      <c r="A29" s="1030">
        <v>28</v>
      </c>
      <c r="B29" s="1030"/>
      <c r="C29" s="110" t="s">
        <v>487</v>
      </c>
      <c r="D29" s="112">
        <v>0.7</v>
      </c>
      <c r="E29" s="112">
        <v>0.81</v>
      </c>
      <c r="F29" s="1032">
        <v>9.2</v>
      </c>
      <c r="G29" s="1032">
        <v>10.2</v>
      </c>
      <c r="H29" s="1033">
        <v>0.11</v>
      </c>
      <c r="I29" s="1034">
        <v>1800</v>
      </c>
      <c r="J29" s="1053">
        <v>9</v>
      </c>
      <c r="K29" s="1054">
        <v>250</v>
      </c>
      <c r="L29" s="1034">
        <v>1.5</v>
      </c>
      <c r="M29" s="1056">
        <v>0.7</v>
      </c>
      <c r="N29" s="94"/>
      <c r="O29">
        <v>0</v>
      </c>
      <c r="P29"/>
      <c r="R29"/>
      <c r="S29"/>
      <c r="U29" s="39"/>
      <c r="V29"/>
      <c r="AD29"/>
      <c r="AE29"/>
      <c r="AG29" s="789"/>
      <c r="AH29" s="788"/>
      <c r="AK29" s="498"/>
      <c r="AL29" s="498"/>
      <c r="AM29" s="498"/>
      <c r="AN29"/>
      <c r="AO29"/>
    </row>
    <row r="30" spans="1:41" ht="12.75" customHeight="1">
      <c r="A30" s="1030">
        <v>29</v>
      </c>
      <c r="B30" s="1030"/>
      <c r="C30" s="110" t="s">
        <v>488</v>
      </c>
      <c r="D30" s="112">
        <v>0.76</v>
      </c>
      <c r="E30" s="112">
        <v>0.87</v>
      </c>
      <c r="F30" s="1032">
        <v>9.77</v>
      </c>
      <c r="G30" s="1032">
        <v>10.9</v>
      </c>
      <c r="H30" s="1033">
        <v>0.11</v>
      </c>
      <c r="I30" s="1034">
        <v>1800</v>
      </c>
      <c r="J30" s="1053">
        <v>2</v>
      </c>
      <c r="K30" s="1054">
        <v>120</v>
      </c>
      <c r="L30" s="1034">
        <v>2</v>
      </c>
      <c r="M30" s="1056">
        <v>0.6</v>
      </c>
      <c r="N30" s="94"/>
      <c r="O30">
        <v>0</v>
      </c>
      <c r="P30"/>
      <c r="R30"/>
      <c r="S30"/>
      <c r="U30" s="39"/>
      <c r="V30"/>
      <c r="AD30"/>
      <c r="AE30"/>
      <c r="AG30" s="789"/>
      <c r="AH30" s="788"/>
      <c r="AK30" s="498"/>
      <c r="AL30" s="498"/>
      <c r="AM30" s="498"/>
      <c r="AN30"/>
      <c r="AO30"/>
    </row>
    <row r="31" spans="1:41" ht="12.75" customHeight="1">
      <c r="A31" s="1030">
        <v>30</v>
      </c>
      <c r="B31" s="1030"/>
      <c r="C31" s="110" t="s">
        <v>489</v>
      </c>
      <c r="D31" s="112">
        <v>0.58</v>
      </c>
      <c r="E31" s="112">
        <v>0.64</v>
      </c>
      <c r="F31" s="1032">
        <v>7</v>
      </c>
      <c r="G31" s="1032">
        <v>8.44</v>
      </c>
      <c r="H31" s="1033">
        <v>0.14</v>
      </c>
      <c r="I31" s="1034">
        <v>1600</v>
      </c>
      <c r="J31" s="1053">
        <v>2</v>
      </c>
      <c r="K31" s="1054">
        <v>120</v>
      </c>
      <c r="L31" s="1034">
        <v>1.5</v>
      </c>
      <c r="M31" s="1056">
        <v>0.7</v>
      </c>
      <c r="N31" s="94"/>
      <c r="O31">
        <v>0</v>
      </c>
      <c r="P31"/>
      <c r="R31"/>
      <c r="S31"/>
      <c r="U31" s="39"/>
      <c r="V31"/>
      <c r="AD31"/>
      <c r="AE31"/>
      <c r="AG31" s="789"/>
      <c r="AH31" s="788"/>
      <c r="AK31" s="498"/>
      <c r="AL31" s="498"/>
      <c r="AM31" s="498"/>
      <c r="AN31"/>
      <c r="AO31"/>
    </row>
    <row r="32" spans="1:41" ht="12.75" customHeight="1">
      <c r="A32" s="1030">
        <v>31</v>
      </c>
      <c r="B32" s="1030"/>
      <c r="C32" s="110" t="s">
        <v>490</v>
      </c>
      <c r="D32" s="112">
        <v>0.52</v>
      </c>
      <c r="E32" s="112">
        <v>0.58</v>
      </c>
      <c r="F32" s="1032">
        <v>7.01</v>
      </c>
      <c r="G32" s="1032">
        <v>7.56</v>
      </c>
      <c r="H32" s="1033">
        <v>0.16</v>
      </c>
      <c r="I32" s="1034">
        <v>1400</v>
      </c>
      <c r="J32" s="1053">
        <v>2</v>
      </c>
      <c r="K32" s="1054">
        <v>120</v>
      </c>
      <c r="L32" s="1034">
        <v>1.5</v>
      </c>
      <c r="M32" s="1056">
        <v>0.7</v>
      </c>
      <c r="N32" s="94"/>
      <c r="O32">
        <v>0</v>
      </c>
      <c r="P32"/>
      <c r="R32"/>
      <c r="S32"/>
      <c r="U32" s="39"/>
      <c r="V32"/>
      <c r="AD32"/>
      <c r="AE32"/>
      <c r="AG32" s="789"/>
      <c r="AH32" s="788"/>
      <c r="AK32" s="498"/>
      <c r="AL32" s="498"/>
      <c r="AM32" s="498"/>
      <c r="AN32"/>
      <c r="AO32"/>
    </row>
    <row r="33" spans="1:41" ht="12.75" customHeight="1">
      <c r="A33" s="1030">
        <v>32</v>
      </c>
      <c r="B33" s="1030"/>
      <c r="C33" s="108" t="s">
        <v>491</v>
      </c>
      <c r="D33" s="112"/>
      <c r="E33" s="112"/>
      <c r="F33" s="1032"/>
      <c r="G33" s="1032"/>
      <c r="H33" s="1033"/>
      <c r="I33" s="1034"/>
      <c r="J33" s="1053"/>
      <c r="K33" s="1054"/>
      <c r="L33" s="1034"/>
      <c r="M33" s="1056"/>
      <c r="N33" s="94"/>
      <c r="O33">
        <v>0</v>
      </c>
      <c r="P33"/>
      <c r="R33"/>
      <c r="S33"/>
      <c r="U33" s="39"/>
      <c r="V33"/>
      <c r="AD33"/>
      <c r="AE33"/>
      <c r="AG33" s="789"/>
      <c r="AH33" s="788"/>
      <c r="AK33" s="498"/>
      <c r="AL33" s="498"/>
      <c r="AM33" s="498"/>
      <c r="AN33"/>
      <c r="AO33"/>
    </row>
    <row r="34" spans="1:41" ht="12.75" customHeight="1">
      <c r="A34" s="1030">
        <v>33</v>
      </c>
      <c r="B34" s="1030"/>
      <c r="C34" s="110" t="s">
        <v>492</v>
      </c>
      <c r="D34" s="112">
        <v>3.49</v>
      </c>
      <c r="E34" s="112">
        <v>3.49</v>
      </c>
      <c r="F34" s="1032">
        <v>25.04</v>
      </c>
      <c r="G34" s="1032">
        <v>25.04</v>
      </c>
      <c r="H34" s="1033">
        <v>0.008</v>
      </c>
      <c r="I34" s="1034">
        <v>2800</v>
      </c>
      <c r="J34" s="1053">
        <v>6</v>
      </c>
      <c r="K34" s="1054">
        <v>500</v>
      </c>
      <c r="L34" s="1034"/>
      <c r="M34" s="1056">
        <v>0.45</v>
      </c>
      <c r="N34" s="94"/>
      <c r="O34">
        <v>0</v>
      </c>
      <c r="P34"/>
      <c r="R34"/>
      <c r="S34"/>
      <c r="U34" s="39"/>
      <c r="V34"/>
      <c r="AD34"/>
      <c r="AE34"/>
      <c r="AG34" s="789"/>
      <c r="AH34" s="788"/>
      <c r="AK34" s="498"/>
      <c r="AL34" s="498"/>
      <c r="AM34" s="498"/>
      <c r="AN34"/>
      <c r="AO34"/>
    </row>
    <row r="35" spans="1:41" ht="12.75" customHeight="1">
      <c r="A35" s="1030">
        <v>34</v>
      </c>
      <c r="B35" s="1030"/>
      <c r="C35" s="110" t="s">
        <v>493</v>
      </c>
      <c r="D35" s="112">
        <v>2.91</v>
      </c>
      <c r="E35" s="112">
        <v>2.91</v>
      </c>
      <c r="F35" s="1032">
        <v>22.86</v>
      </c>
      <c r="G35" s="1032">
        <v>22.86</v>
      </c>
      <c r="H35" s="1033">
        <v>0.008</v>
      </c>
      <c r="I35" s="1034">
        <v>2800</v>
      </c>
      <c r="J35" s="1053">
        <v>6</v>
      </c>
      <c r="K35" s="1054">
        <v>500</v>
      </c>
      <c r="L35" s="1034"/>
      <c r="M35" s="1056">
        <v>0.45</v>
      </c>
      <c r="N35" s="94"/>
      <c r="O35">
        <v>0</v>
      </c>
      <c r="P35"/>
      <c r="R35"/>
      <c r="S35"/>
      <c r="U35" s="39"/>
      <c r="V35"/>
      <c r="AD35"/>
      <c r="AE35"/>
      <c r="AG35" s="789"/>
      <c r="AH35" s="788"/>
      <c r="AK35" s="498"/>
      <c r="AL35" s="498"/>
      <c r="AM35" s="498"/>
      <c r="AN35"/>
      <c r="AO35"/>
    </row>
    <row r="36" spans="1:41" ht="12.75" customHeight="1">
      <c r="A36" s="1030">
        <v>35</v>
      </c>
      <c r="B36" s="1030"/>
      <c r="C36" s="110" t="s">
        <v>494</v>
      </c>
      <c r="D36" s="112">
        <v>1.16</v>
      </c>
      <c r="E36" s="112">
        <v>1.28</v>
      </c>
      <c r="F36" s="1032">
        <v>12.77</v>
      </c>
      <c r="G36" s="1032">
        <v>13.7</v>
      </c>
      <c r="H36" s="1033">
        <v>0.06</v>
      </c>
      <c r="I36" s="1034">
        <v>1600</v>
      </c>
      <c r="J36" s="1053">
        <v>6</v>
      </c>
      <c r="K36" s="1054">
        <v>500</v>
      </c>
      <c r="L36" s="1034"/>
      <c r="M36" s="1056">
        <v>0.45</v>
      </c>
      <c r="N36" s="94"/>
      <c r="O36">
        <v>0</v>
      </c>
      <c r="P36"/>
      <c r="R36"/>
      <c r="S36"/>
      <c r="U36" s="39"/>
      <c r="V36"/>
      <c r="AD36"/>
      <c r="AE36"/>
      <c r="AG36" s="789"/>
      <c r="AH36" s="788"/>
      <c r="AK36" s="498"/>
      <c r="AL36" s="498"/>
      <c r="AM36" s="498"/>
      <c r="AN36"/>
      <c r="AO36"/>
    </row>
    <row r="37" spans="1:41" ht="12.75" customHeight="1">
      <c r="A37" s="1030">
        <v>35</v>
      </c>
      <c r="B37" s="1030"/>
      <c r="C37" s="108" t="s">
        <v>495</v>
      </c>
      <c r="D37" s="112"/>
      <c r="E37" s="112"/>
      <c r="F37" s="1032"/>
      <c r="G37" s="1032"/>
      <c r="H37" s="1033"/>
      <c r="I37" s="1034"/>
      <c r="J37" s="1053"/>
      <c r="K37" s="1054"/>
      <c r="L37" s="1034"/>
      <c r="M37" s="1056"/>
      <c r="N37" s="94"/>
      <c r="O37">
        <v>0</v>
      </c>
      <c r="P37"/>
      <c r="R37"/>
      <c r="S37"/>
      <c r="U37" s="39"/>
      <c r="V37"/>
      <c r="AD37"/>
      <c r="AE37"/>
      <c r="AG37" s="789"/>
      <c r="AH37" s="788"/>
      <c r="AK37" s="498"/>
      <c r="AL37" s="498"/>
      <c r="AM37" s="498"/>
      <c r="AN37"/>
      <c r="AO37"/>
    </row>
    <row r="38" spans="1:41" ht="12.75" customHeight="1">
      <c r="A38" s="1030">
        <v>37</v>
      </c>
      <c r="B38" s="1030"/>
      <c r="C38" s="110" t="s">
        <v>853</v>
      </c>
      <c r="D38" s="112">
        <v>0.14</v>
      </c>
      <c r="E38" s="112">
        <v>0.18</v>
      </c>
      <c r="F38" s="1032">
        <v>3.87</v>
      </c>
      <c r="G38" s="1032">
        <v>4.54</v>
      </c>
      <c r="H38" s="1033">
        <v>0.06</v>
      </c>
      <c r="I38" s="1034">
        <v>500</v>
      </c>
      <c r="J38" s="1053">
        <v>1.5</v>
      </c>
      <c r="K38" s="1054">
        <v>20</v>
      </c>
      <c r="L38" s="1034"/>
      <c r="M38" s="1058"/>
      <c r="N38" s="94"/>
      <c r="O38">
        <v>0</v>
      </c>
      <c r="P38"/>
      <c r="R38"/>
      <c r="S38"/>
      <c r="U38" s="39"/>
      <c r="V38"/>
      <c r="AD38"/>
      <c r="AE38"/>
      <c r="AG38" s="789"/>
      <c r="AH38" s="788"/>
      <c r="AK38" s="498"/>
      <c r="AL38" s="498"/>
      <c r="AM38" s="498"/>
      <c r="AN38"/>
      <c r="AO38"/>
    </row>
    <row r="39" spans="1:41" ht="12.75" customHeight="1">
      <c r="A39" s="1030">
        <v>38</v>
      </c>
      <c r="B39" s="1030"/>
      <c r="C39" s="110" t="s">
        <v>854</v>
      </c>
      <c r="D39" s="112">
        <v>0.29</v>
      </c>
      <c r="E39" s="112">
        <v>0.35</v>
      </c>
      <c r="F39" s="1032">
        <v>5.56</v>
      </c>
      <c r="G39" s="1032">
        <v>6.33</v>
      </c>
      <c r="H39" s="1033">
        <v>0.32</v>
      </c>
      <c r="I39" s="1034">
        <v>500</v>
      </c>
      <c r="J39" s="1053">
        <v>1.5</v>
      </c>
      <c r="K39" s="1054">
        <v>20</v>
      </c>
      <c r="L39" s="1034"/>
      <c r="M39" s="1056"/>
      <c r="N39" s="94"/>
      <c r="O39">
        <v>0</v>
      </c>
      <c r="P39"/>
      <c r="R39"/>
      <c r="S39"/>
      <c r="U39" s="39"/>
      <c r="V39"/>
      <c r="AD39"/>
      <c r="AE39"/>
      <c r="AG39" s="789"/>
      <c r="AH39" s="788"/>
      <c r="AK39" s="498"/>
      <c r="AL39" s="498"/>
      <c r="AM39" s="498"/>
      <c r="AN39"/>
      <c r="AO39"/>
    </row>
    <row r="40" spans="1:41" ht="12.75" customHeight="1">
      <c r="A40" s="1030">
        <v>39</v>
      </c>
      <c r="B40" s="1030"/>
      <c r="C40" s="110" t="s">
        <v>496</v>
      </c>
      <c r="D40" s="1034">
        <v>0.18</v>
      </c>
      <c r="E40" s="1034">
        <v>0.23</v>
      </c>
      <c r="F40" s="1032">
        <v>5</v>
      </c>
      <c r="G40" s="1032">
        <v>5.86</v>
      </c>
      <c r="H40" s="1033">
        <v>0.05</v>
      </c>
      <c r="I40" s="1034">
        <v>700</v>
      </c>
      <c r="J40" s="1053">
        <v>1.5</v>
      </c>
      <c r="K40" s="1054">
        <v>20</v>
      </c>
      <c r="L40" s="1034"/>
      <c r="M40" s="1056"/>
      <c r="N40" s="94"/>
      <c r="O40">
        <v>0</v>
      </c>
      <c r="P40"/>
      <c r="R40"/>
      <c r="S40"/>
      <c r="U40" s="39"/>
      <c r="V40"/>
      <c r="AD40"/>
      <c r="AE40"/>
      <c r="AG40" s="789"/>
      <c r="AH40" s="788"/>
      <c r="AK40" s="498"/>
      <c r="AL40" s="498"/>
      <c r="AM40" s="498"/>
      <c r="AN40"/>
      <c r="AO40"/>
    </row>
    <row r="41" spans="1:41" ht="12.75" customHeight="1">
      <c r="A41" s="1030">
        <v>40</v>
      </c>
      <c r="B41" s="1030"/>
      <c r="C41" s="110" t="s">
        <v>497</v>
      </c>
      <c r="D41" s="112">
        <v>0.35</v>
      </c>
      <c r="E41" s="112">
        <v>0.41</v>
      </c>
      <c r="F41" s="1032">
        <v>6.9</v>
      </c>
      <c r="G41" s="1032">
        <v>7.83</v>
      </c>
      <c r="H41" s="1033">
        <v>0.3</v>
      </c>
      <c r="I41" s="1034">
        <v>700</v>
      </c>
      <c r="J41" s="1053">
        <v>1.5</v>
      </c>
      <c r="K41" s="1054">
        <v>20</v>
      </c>
      <c r="L41" s="1034"/>
      <c r="M41" s="1056"/>
      <c r="N41" s="94"/>
      <c r="O41">
        <v>0</v>
      </c>
      <c r="P41"/>
      <c r="R41"/>
      <c r="S41"/>
      <c r="U41" s="39"/>
      <c r="V41"/>
      <c r="AD41"/>
      <c r="AE41"/>
      <c r="AG41" s="789"/>
      <c r="AH41" s="788"/>
      <c r="AK41" s="498"/>
      <c r="AL41" s="498"/>
      <c r="AM41" s="498"/>
      <c r="AN41"/>
      <c r="AO41"/>
    </row>
    <row r="42" spans="1:41" ht="12.75" customHeight="1">
      <c r="A42" s="1030">
        <v>41</v>
      </c>
      <c r="B42" s="1030"/>
      <c r="C42" s="110" t="s">
        <v>498</v>
      </c>
      <c r="D42" s="112">
        <v>0.23</v>
      </c>
      <c r="E42" s="112">
        <v>0.29</v>
      </c>
      <c r="F42" s="1032">
        <v>6.75</v>
      </c>
      <c r="G42" s="1032">
        <v>7.7</v>
      </c>
      <c r="H42" s="1033">
        <v>0.12</v>
      </c>
      <c r="I42" s="1034">
        <v>1000</v>
      </c>
      <c r="J42" s="1053">
        <v>2.5</v>
      </c>
      <c r="K42" s="1054">
        <v>20</v>
      </c>
      <c r="L42" s="1034"/>
      <c r="M42" s="1056">
        <v>0.6</v>
      </c>
      <c r="N42" s="94"/>
      <c r="O42">
        <v>0</v>
      </c>
      <c r="P42"/>
      <c r="R42"/>
      <c r="S42"/>
      <c r="U42" s="39"/>
      <c r="V42"/>
      <c r="AD42"/>
      <c r="AE42"/>
      <c r="AG42" s="789"/>
      <c r="AH42" s="788"/>
      <c r="AK42" s="498"/>
      <c r="AL42" s="498"/>
      <c r="AM42" s="498"/>
      <c r="AN42"/>
      <c r="AO42"/>
    </row>
    <row r="43" spans="1:41" ht="12.75" customHeight="1">
      <c r="A43" s="1030">
        <v>42</v>
      </c>
      <c r="B43" s="1030"/>
      <c r="C43" s="108" t="s">
        <v>499</v>
      </c>
      <c r="D43" s="112"/>
      <c r="E43" s="112"/>
      <c r="F43" s="1032"/>
      <c r="G43" s="1032"/>
      <c r="H43" s="1033"/>
      <c r="I43" s="1034"/>
      <c r="J43" s="1053"/>
      <c r="K43" s="1054"/>
      <c r="L43" s="1034"/>
      <c r="M43" s="1056"/>
      <c r="N43" s="94"/>
      <c r="O43">
        <v>0</v>
      </c>
      <c r="P43"/>
      <c r="R43"/>
      <c r="S43"/>
      <c r="U43" s="39"/>
      <c r="V43"/>
      <c r="AD43"/>
      <c r="AE43"/>
      <c r="AG43" s="789"/>
      <c r="AH43" s="788"/>
      <c r="AK43" s="498"/>
      <c r="AL43" s="498"/>
      <c r="AM43" s="498"/>
      <c r="AN43"/>
      <c r="AO43"/>
    </row>
    <row r="44" spans="1:41" ht="12.75" customHeight="1">
      <c r="A44" s="1030">
        <v>43</v>
      </c>
      <c r="B44" s="1030"/>
      <c r="C44" s="110" t="s">
        <v>500</v>
      </c>
      <c r="D44" s="112">
        <v>0.076</v>
      </c>
      <c r="E44" s="112">
        <v>0.08</v>
      </c>
      <c r="F44" s="1032">
        <v>1.01</v>
      </c>
      <c r="G44" s="1032">
        <v>1.11</v>
      </c>
      <c r="H44" s="1033">
        <v>0.49</v>
      </c>
      <c r="I44" s="1034">
        <v>200</v>
      </c>
      <c r="J44" s="1053">
        <v>2</v>
      </c>
      <c r="K44" s="1054">
        <v>50</v>
      </c>
      <c r="L44" s="1034">
        <v>3</v>
      </c>
      <c r="M44" s="1056"/>
      <c r="N44" s="94"/>
      <c r="O44">
        <v>0</v>
      </c>
      <c r="P44"/>
      <c r="R44"/>
      <c r="S44"/>
      <c r="U44" s="39"/>
      <c r="V44"/>
      <c r="AD44"/>
      <c r="AE44"/>
      <c r="AG44" s="789"/>
      <c r="AH44" s="788"/>
      <c r="AK44" s="498"/>
      <c r="AL44" s="498"/>
      <c r="AM44" s="498"/>
      <c r="AN44"/>
      <c r="AO44"/>
    </row>
    <row r="45" spans="1:41" ht="12" customHeight="1">
      <c r="A45" s="1030">
        <v>44</v>
      </c>
      <c r="B45" s="1030"/>
      <c r="C45" s="110" t="s">
        <v>501</v>
      </c>
      <c r="D45" s="110">
        <v>0.06</v>
      </c>
      <c r="E45" s="110">
        <v>0.07</v>
      </c>
      <c r="F45" s="1032">
        <v>0.64</v>
      </c>
      <c r="G45" s="1032">
        <v>0.73</v>
      </c>
      <c r="H45" s="1033">
        <v>0.56</v>
      </c>
      <c r="I45" s="1034">
        <v>100</v>
      </c>
      <c r="J45" s="1053">
        <v>2</v>
      </c>
      <c r="K45" s="1054">
        <v>50</v>
      </c>
      <c r="L45" s="1034">
        <v>3</v>
      </c>
      <c r="M45" s="1056"/>
      <c r="N45" s="94"/>
      <c r="O45">
        <v>0</v>
      </c>
      <c r="P45"/>
      <c r="R45"/>
      <c r="S45"/>
      <c r="U45" s="39"/>
      <c r="V45"/>
      <c r="AD45"/>
      <c r="AE45"/>
      <c r="AG45" s="789"/>
      <c r="AH45" s="788"/>
      <c r="AK45" s="498"/>
      <c r="AL45" s="498"/>
      <c r="AM45" s="498"/>
      <c r="AN45"/>
      <c r="AO45"/>
    </row>
    <row r="46" spans="1:41" ht="12" customHeight="1">
      <c r="A46" s="1030">
        <v>45</v>
      </c>
      <c r="B46" s="1030"/>
      <c r="C46" s="110" t="s">
        <v>502</v>
      </c>
      <c r="D46" s="110">
        <v>0.06</v>
      </c>
      <c r="E46" s="110">
        <v>0.064</v>
      </c>
      <c r="F46" s="1032">
        <v>0.55</v>
      </c>
      <c r="G46" s="1032">
        <v>0.61</v>
      </c>
      <c r="H46" s="1033">
        <v>0.49</v>
      </c>
      <c r="I46" s="1034">
        <v>75</v>
      </c>
      <c r="J46" s="1053">
        <v>2</v>
      </c>
      <c r="K46" s="1054">
        <v>50</v>
      </c>
      <c r="L46" s="1034">
        <v>3</v>
      </c>
      <c r="M46" s="1056"/>
      <c r="N46" s="94"/>
      <c r="O46">
        <v>0</v>
      </c>
      <c r="P46"/>
      <c r="R46"/>
      <c r="S46"/>
      <c r="U46" s="39"/>
      <c r="V46"/>
      <c r="AD46"/>
      <c r="AE46"/>
      <c r="AG46" s="789"/>
      <c r="AH46" s="788"/>
      <c r="AK46" s="498"/>
      <c r="AL46" s="498"/>
      <c r="AM46" s="498"/>
      <c r="AN46"/>
      <c r="AO46"/>
    </row>
    <row r="47" spans="1:41" ht="12.75" customHeight="1">
      <c r="A47" s="1030">
        <v>46</v>
      </c>
      <c r="B47" s="1030"/>
      <c r="C47" s="110" t="s">
        <v>503</v>
      </c>
      <c r="D47" s="110">
        <v>0.052</v>
      </c>
      <c r="E47" s="110">
        <v>0.06</v>
      </c>
      <c r="F47" s="1032">
        <v>0.42</v>
      </c>
      <c r="G47" s="1032">
        <v>0.48</v>
      </c>
      <c r="H47" s="1033">
        <v>0.6</v>
      </c>
      <c r="I47" s="1034">
        <v>50</v>
      </c>
      <c r="J47" s="1053">
        <v>2</v>
      </c>
      <c r="K47" s="1054">
        <v>50</v>
      </c>
      <c r="L47" s="1034">
        <v>3</v>
      </c>
      <c r="M47" s="1056"/>
      <c r="N47" s="94"/>
      <c r="O47">
        <v>0</v>
      </c>
      <c r="P47"/>
      <c r="R47"/>
      <c r="S47"/>
      <c r="U47" s="39"/>
      <c r="V47"/>
      <c r="AD47"/>
      <c r="AE47"/>
      <c r="AG47" s="789"/>
      <c r="AH47" s="788"/>
      <c r="AK47" s="498"/>
      <c r="AL47" s="498"/>
      <c r="AM47" s="498"/>
      <c r="AN47"/>
      <c r="AO47"/>
    </row>
    <row r="48" spans="1:41" ht="12.75" customHeight="1">
      <c r="A48" s="1030">
        <v>47</v>
      </c>
      <c r="B48" s="1030"/>
      <c r="C48" s="110" t="s">
        <v>504</v>
      </c>
      <c r="D48" s="110">
        <v>0.06</v>
      </c>
      <c r="E48" s="110">
        <v>0.064</v>
      </c>
      <c r="F48" s="1032">
        <v>0.44</v>
      </c>
      <c r="G48" s="1032">
        <v>0.5</v>
      </c>
      <c r="H48" s="1033">
        <v>0.5</v>
      </c>
      <c r="I48" s="1034">
        <v>75</v>
      </c>
      <c r="J48" s="1053">
        <v>2</v>
      </c>
      <c r="K48" s="1054">
        <v>50</v>
      </c>
      <c r="L48" s="1034">
        <v>3</v>
      </c>
      <c r="M48" s="1056"/>
      <c r="N48" s="94"/>
      <c r="O48">
        <v>0</v>
      </c>
      <c r="P48"/>
      <c r="R48"/>
      <c r="S48"/>
      <c r="U48" s="39"/>
      <c r="V48"/>
      <c r="AD48"/>
      <c r="AE48"/>
      <c r="AG48" s="789"/>
      <c r="AH48" s="788"/>
      <c r="AK48" s="498"/>
      <c r="AL48" s="498"/>
      <c r="AM48" s="498"/>
      <c r="AN48"/>
      <c r="AO48"/>
    </row>
    <row r="49" spans="1:41" ht="12.75" customHeight="1">
      <c r="A49" s="1030">
        <v>48</v>
      </c>
      <c r="B49" s="1030"/>
      <c r="C49" s="1059" t="s">
        <v>670</v>
      </c>
      <c r="D49" s="1034">
        <v>0.041</v>
      </c>
      <c r="E49" s="106">
        <v>0.05</v>
      </c>
      <c r="F49" s="1032">
        <v>0.41</v>
      </c>
      <c r="G49" s="1032">
        <v>0.49</v>
      </c>
      <c r="H49" s="1033">
        <v>0.05</v>
      </c>
      <c r="I49" s="1034">
        <v>40</v>
      </c>
      <c r="J49" s="1053">
        <v>79</v>
      </c>
      <c r="K49" s="1054">
        <v>50</v>
      </c>
      <c r="L49" s="1034">
        <v>25</v>
      </c>
      <c r="M49" s="1056"/>
      <c r="N49" s="94"/>
      <c r="O49">
        <v>0</v>
      </c>
      <c r="P49"/>
      <c r="R49"/>
      <c r="S49"/>
      <c r="U49" s="39"/>
      <c r="V49"/>
      <c r="AD49"/>
      <c r="AE49"/>
      <c r="AG49" s="789"/>
      <c r="AH49" s="788"/>
      <c r="AK49" s="498"/>
      <c r="AL49" s="498"/>
      <c r="AM49" s="498"/>
      <c r="AN49"/>
      <c r="AO49"/>
    </row>
    <row r="50" spans="1:41" ht="12.75" customHeight="1">
      <c r="A50" s="1030">
        <v>49</v>
      </c>
      <c r="B50" s="1030"/>
      <c r="C50" s="104" t="s">
        <v>831</v>
      </c>
      <c r="D50" s="1060">
        <v>0.031</v>
      </c>
      <c r="E50" s="106">
        <v>0.031</v>
      </c>
      <c r="F50" s="1032">
        <v>0.41</v>
      </c>
      <c r="G50" s="1032">
        <v>0.41</v>
      </c>
      <c r="H50" s="1033">
        <v>0.005</v>
      </c>
      <c r="I50" s="1034">
        <v>45</v>
      </c>
      <c r="J50" s="1053">
        <v>79</v>
      </c>
      <c r="K50" s="1054">
        <v>50</v>
      </c>
      <c r="L50" s="1034">
        <v>25</v>
      </c>
      <c r="M50" s="1056"/>
      <c r="N50" s="94"/>
      <c r="O50">
        <v>0</v>
      </c>
      <c r="P50"/>
      <c r="R50"/>
      <c r="S50"/>
      <c r="U50" s="39"/>
      <c r="V50"/>
      <c r="AD50"/>
      <c r="AE50"/>
      <c r="AG50" s="789"/>
      <c r="AH50" s="788"/>
      <c r="AK50" s="498"/>
      <c r="AL50" s="498"/>
      <c r="AM50" s="498"/>
      <c r="AN50"/>
      <c r="AO50"/>
    </row>
    <row r="51" spans="1:41" ht="12.75" customHeight="1">
      <c r="A51" s="1030">
        <v>50</v>
      </c>
      <c r="B51" s="1030"/>
      <c r="C51" s="104" t="s">
        <v>832</v>
      </c>
      <c r="D51" s="1060">
        <v>0.036</v>
      </c>
      <c r="E51" s="106">
        <v>0.04</v>
      </c>
      <c r="F51" s="1032">
        <v>0.41</v>
      </c>
      <c r="G51" s="1032">
        <v>0.41</v>
      </c>
      <c r="H51" s="1033">
        <v>0.035</v>
      </c>
      <c r="I51" s="1034">
        <v>40</v>
      </c>
      <c r="J51" s="1053">
        <v>79</v>
      </c>
      <c r="K51" s="1054">
        <v>50</v>
      </c>
      <c r="L51" s="1034">
        <v>25</v>
      </c>
      <c r="M51" s="1056"/>
      <c r="N51" s="94"/>
      <c r="O51">
        <v>0</v>
      </c>
      <c r="P51"/>
      <c r="R51"/>
      <c r="S51"/>
      <c r="U51" s="39"/>
      <c r="V51"/>
      <c r="AD51"/>
      <c r="AE51"/>
      <c r="AG51" s="789"/>
      <c r="AH51" s="788"/>
      <c r="AK51" s="498"/>
      <c r="AL51" s="498"/>
      <c r="AM51" s="498"/>
      <c r="AN51"/>
      <c r="AO51"/>
    </row>
    <row r="52" spans="1:41" ht="12.75" customHeight="1">
      <c r="A52" s="1030">
        <v>51</v>
      </c>
      <c r="B52" s="1030"/>
      <c r="C52" s="1068" t="s">
        <v>505</v>
      </c>
      <c r="D52" s="1034">
        <v>0.047</v>
      </c>
      <c r="E52" s="1034">
        <v>0.05</v>
      </c>
      <c r="F52" s="1032">
        <v>0.42</v>
      </c>
      <c r="G52" s="1032">
        <v>0.48</v>
      </c>
      <c r="H52" s="1033">
        <v>0.6</v>
      </c>
      <c r="I52" s="1034">
        <v>200</v>
      </c>
      <c r="J52" s="1053">
        <v>2</v>
      </c>
      <c r="K52" s="1054">
        <v>50</v>
      </c>
      <c r="L52" s="1034">
        <v>3</v>
      </c>
      <c r="M52" s="1056"/>
      <c r="N52" s="94"/>
      <c r="O52">
        <v>0</v>
      </c>
      <c r="P52"/>
      <c r="R52"/>
      <c r="S52"/>
      <c r="U52" s="39"/>
      <c r="V52"/>
      <c r="AD52"/>
      <c r="AE52"/>
      <c r="AG52" s="789"/>
      <c r="AH52" s="788"/>
      <c r="AK52" s="498"/>
      <c r="AL52" s="498"/>
      <c r="AM52" s="498"/>
      <c r="AN52"/>
      <c r="AO52"/>
    </row>
    <row r="53" spans="1:41" ht="12.75" customHeight="1">
      <c r="A53" s="1030">
        <v>52</v>
      </c>
      <c r="B53" s="1030"/>
      <c r="C53" s="1068" t="s">
        <v>506</v>
      </c>
      <c r="D53" s="1034">
        <v>0.042</v>
      </c>
      <c r="E53" s="1034">
        <v>0.045</v>
      </c>
      <c r="F53" s="1032">
        <v>0.42</v>
      </c>
      <c r="G53" s="1032">
        <v>0.48</v>
      </c>
      <c r="H53" s="1033">
        <v>0.6</v>
      </c>
      <c r="I53" s="1034">
        <v>100</v>
      </c>
      <c r="J53" s="1053">
        <v>2</v>
      </c>
      <c r="K53" s="1054">
        <v>50</v>
      </c>
      <c r="L53" s="1034">
        <v>3</v>
      </c>
      <c r="M53" s="1056"/>
      <c r="N53" s="94"/>
      <c r="O53">
        <v>0</v>
      </c>
      <c r="P53"/>
      <c r="R53"/>
      <c r="S53"/>
      <c r="U53" s="39"/>
      <c r="V53"/>
      <c r="AD53"/>
      <c r="AE53"/>
      <c r="AG53" s="789"/>
      <c r="AH53" s="788"/>
      <c r="AK53" s="498"/>
      <c r="AL53" s="498"/>
      <c r="AM53" s="498"/>
      <c r="AN53"/>
      <c r="AO53"/>
    </row>
    <row r="54" spans="1:41" ht="12.75" customHeight="1">
      <c r="A54" s="1030">
        <v>53</v>
      </c>
      <c r="B54" s="1030"/>
      <c r="C54" s="1068" t="s">
        <v>507</v>
      </c>
      <c r="D54" s="1034">
        <v>0.044</v>
      </c>
      <c r="E54" s="1034">
        <v>0.047</v>
      </c>
      <c r="F54" s="1032">
        <v>0.42</v>
      </c>
      <c r="G54" s="1032">
        <v>0.48</v>
      </c>
      <c r="H54" s="1033">
        <v>0.6</v>
      </c>
      <c r="I54" s="1034">
        <v>50</v>
      </c>
      <c r="J54" s="1053">
        <v>2</v>
      </c>
      <c r="K54" s="1054">
        <v>50</v>
      </c>
      <c r="L54" s="1034">
        <v>3</v>
      </c>
      <c r="M54" s="1056"/>
      <c r="N54" s="94"/>
      <c r="O54">
        <v>0</v>
      </c>
      <c r="P54"/>
      <c r="R54"/>
      <c r="S54"/>
      <c r="U54" s="39"/>
      <c r="V54"/>
      <c r="AD54"/>
      <c r="AE54"/>
      <c r="AG54" s="789"/>
      <c r="AH54" s="788"/>
      <c r="AK54" s="498"/>
      <c r="AL54" s="498"/>
      <c r="AM54" s="498"/>
      <c r="AN54"/>
      <c r="AO54"/>
    </row>
    <row r="55" spans="1:41" ht="12.75" customHeight="1">
      <c r="A55" s="1030">
        <v>54</v>
      </c>
      <c r="B55" s="1030"/>
      <c r="C55" s="1034" t="s">
        <v>508</v>
      </c>
      <c r="D55" s="1060">
        <v>0.064</v>
      </c>
      <c r="E55" s="1060">
        <v>0.07</v>
      </c>
      <c r="F55" s="1032">
        <v>0.8</v>
      </c>
      <c r="G55" s="1032">
        <v>0.9</v>
      </c>
      <c r="H55" s="1033">
        <v>0.53</v>
      </c>
      <c r="I55" s="1034">
        <v>150</v>
      </c>
      <c r="J55" s="1053"/>
      <c r="K55" s="1054"/>
      <c r="L55" s="1034"/>
      <c r="M55" s="1056"/>
      <c r="N55" s="94"/>
      <c r="O55">
        <v>0</v>
      </c>
      <c r="P55"/>
      <c r="R55"/>
      <c r="S55"/>
      <c r="U55" s="39"/>
      <c r="V55"/>
      <c r="AD55"/>
      <c r="AE55"/>
      <c r="AG55" s="789"/>
      <c r="AH55" s="788"/>
      <c r="AK55" s="498"/>
      <c r="AL55" s="498"/>
      <c r="AM55" s="498"/>
      <c r="AN55"/>
      <c r="AO55"/>
    </row>
    <row r="56" spans="1:41" ht="12" customHeight="1">
      <c r="A56" s="1030">
        <v>55</v>
      </c>
      <c r="B56" s="1030"/>
      <c r="C56" s="1034" t="s">
        <v>509</v>
      </c>
      <c r="D56" s="1034">
        <v>0.04</v>
      </c>
      <c r="E56" s="1034">
        <v>0.04</v>
      </c>
      <c r="F56" s="1032">
        <v>0.04</v>
      </c>
      <c r="G56" s="1032">
        <v>0.042</v>
      </c>
      <c r="H56" s="1033">
        <v>0.05</v>
      </c>
      <c r="I56" s="1034">
        <v>40</v>
      </c>
      <c r="J56" s="1053">
        <v>79</v>
      </c>
      <c r="K56" s="1054">
        <v>50</v>
      </c>
      <c r="L56" s="1034">
        <v>25</v>
      </c>
      <c r="M56" s="1056"/>
      <c r="N56" s="94"/>
      <c r="O56">
        <v>0</v>
      </c>
      <c r="P56"/>
      <c r="R56"/>
      <c r="S56"/>
      <c r="U56" s="88"/>
      <c r="V56"/>
      <c r="AD56"/>
      <c r="AE56"/>
      <c r="AG56" s="789"/>
      <c r="AH56" s="788"/>
      <c r="AK56" s="498"/>
      <c r="AL56" s="498"/>
      <c r="AM56" s="498"/>
      <c r="AN56"/>
      <c r="AO56"/>
    </row>
    <row r="57" spans="1:41" ht="12.75" customHeight="1">
      <c r="A57" s="1030">
        <v>56</v>
      </c>
      <c r="B57" s="1030"/>
      <c r="C57" s="1061" t="s">
        <v>510</v>
      </c>
      <c r="D57" s="1060"/>
      <c r="E57" s="106"/>
      <c r="F57" s="1032"/>
      <c r="G57" s="1032"/>
      <c r="H57" s="1033"/>
      <c r="I57" s="1034"/>
      <c r="J57" s="1053"/>
      <c r="K57" s="1054"/>
      <c r="L57" s="1034"/>
      <c r="M57" s="1056"/>
      <c r="N57" s="94"/>
      <c r="O57">
        <v>0</v>
      </c>
      <c r="P57"/>
      <c r="R57"/>
      <c r="S57"/>
      <c r="U57" s="88"/>
      <c r="V57"/>
      <c r="AD57"/>
      <c r="AE57"/>
      <c r="AG57" s="789"/>
      <c r="AH57" s="788"/>
      <c r="AK57" s="498"/>
      <c r="AL57" s="498"/>
      <c r="AM57" s="498"/>
      <c r="AN57"/>
      <c r="AO57"/>
    </row>
    <row r="58" spans="1:41" ht="12.75" customHeight="1">
      <c r="A58" s="1030">
        <v>57</v>
      </c>
      <c r="B58" s="1030"/>
      <c r="C58" s="104" t="s">
        <v>511</v>
      </c>
      <c r="D58" s="1060">
        <v>0.21</v>
      </c>
      <c r="E58" s="106">
        <v>0.23</v>
      </c>
      <c r="F58" s="1032">
        <v>3.36</v>
      </c>
      <c r="G58" s="1032">
        <v>3.6</v>
      </c>
      <c r="H58" s="1033">
        <v>0.21</v>
      </c>
      <c r="I58" s="1034">
        <v>800</v>
      </c>
      <c r="J58" s="1053"/>
      <c r="K58" s="1054"/>
      <c r="L58" s="1034">
        <v>3</v>
      </c>
      <c r="M58" s="1056"/>
      <c r="N58" s="94"/>
      <c r="O58">
        <v>0</v>
      </c>
      <c r="P58"/>
      <c r="R58"/>
      <c r="S58"/>
      <c r="U58" s="88"/>
      <c r="V58"/>
      <c r="AD58"/>
      <c r="AE58"/>
      <c r="AG58" s="789"/>
      <c r="AH58" s="788"/>
      <c r="AK58" s="498"/>
      <c r="AL58" s="498"/>
      <c r="AM58" s="498"/>
      <c r="AN58"/>
      <c r="AO58"/>
    </row>
    <row r="59" spans="1:41" ht="12.75" customHeight="1">
      <c r="A59" s="1062">
        <v>58</v>
      </c>
      <c r="B59" s="1062"/>
      <c r="C59" s="104" t="s">
        <v>512</v>
      </c>
      <c r="D59" s="1060">
        <v>0.17</v>
      </c>
      <c r="E59" s="106">
        <v>0.2</v>
      </c>
      <c r="F59" s="1032">
        <v>2.62</v>
      </c>
      <c r="G59" s="1032">
        <v>2.91</v>
      </c>
      <c r="H59" s="1033">
        <v>0.23</v>
      </c>
      <c r="I59" s="1034">
        <v>600</v>
      </c>
      <c r="J59" s="1053"/>
      <c r="K59" s="1054"/>
      <c r="L59" s="1034">
        <v>3</v>
      </c>
      <c r="M59" s="1056"/>
      <c r="N59" s="94"/>
      <c r="O59">
        <v>0</v>
      </c>
      <c r="P59"/>
      <c r="R59"/>
      <c r="S59"/>
      <c r="U59" s="88"/>
      <c r="V59"/>
      <c r="AD59"/>
      <c r="AE59"/>
      <c r="AG59" s="789"/>
      <c r="AH59" s="788"/>
      <c r="AK59" s="498"/>
      <c r="AL59" s="498"/>
      <c r="AM59" s="498"/>
      <c r="AN59"/>
      <c r="AO59"/>
    </row>
    <row r="60" spans="1:41" ht="12.75" customHeight="1">
      <c r="A60" s="1062">
        <v>59</v>
      </c>
      <c r="B60" s="1062"/>
      <c r="C60" s="104" t="s">
        <v>513</v>
      </c>
      <c r="D60" s="106">
        <v>0.13</v>
      </c>
      <c r="E60" s="106">
        <v>0.14</v>
      </c>
      <c r="F60" s="1032">
        <v>1.87</v>
      </c>
      <c r="G60" s="1032">
        <v>1.99</v>
      </c>
      <c r="H60" s="1033">
        <v>0.24</v>
      </c>
      <c r="I60" s="1034">
        <v>400</v>
      </c>
      <c r="J60" s="1053"/>
      <c r="K60" s="1054"/>
      <c r="L60" s="1034">
        <v>3</v>
      </c>
      <c r="M60" s="1056"/>
      <c r="N60" s="94"/>
      <c r="O60">
        <v>0</v>
      </c>
      <c r="P60"/>
      <c r="R60"/>
      <c r="S60"/>
      <c r="U60" s="88"/>
      <c r="V60"/>
      <c r="AD60"/>
      <c r="AE60"/>
      <c r="AG60" s="789"/>
      <c r="AH60" s="788"/>
      <c r="AK60" s="498"/>
      <c r="AL60" s="498"/>
      <c r="AM60" s="498"/>
      <c r="AN60"/>
      <c r="AO60"/>
    </row>
    <row r="61" spans="1:41" ht="12.75" customHeight="1">
      <c r="A61" s="1030">
        <v>60</v>
      </c>
      <c r="B61" s="1030"/>
      <c r="C61" s="104" t="s">
        <v>514</v>
      </c>
      <c r="D61" s="106">
        <v>0.12</v>
      </c>
      <c r="E61" s="106">
        <v>0.13</v>
      </c>
      <c r="F61" s="1032">
        <v>1.56</v>
      </c>
      <c r="G61" s="1032">
        <v>1.66</v>
      </c>
      <c r="H61" s="1033">
        <v>0.25</v>
      </c>
      <c r="I61" s="1034">
        <v>300</v>
      </c>
      <c r="J61" s="1053"/>
      <c r="K61" s="1054"/>
      <c r="L61" s="1034">
        <v>3</v>
      </c>
      <c r="M61" s="1056"/>
      <c r="N61" s="94"/>
      <c r="O61">
        <v>0</v>
      </c>
      <c r="P61"/>
      <c r="R61"/>
      <c r="S61"/>
      <c r="U61" s="88"/>
      <c r="V61"/>
      <c r="AD61"/>
      <c r="AE61"/>
      <c r="AG61" s="789"/>
      <c r="AH61" s="788"/>
      <c r="AK61" s="498"/>
      <c r="AL61" s="498"/>
      <c r="AM61" s="498"/>
      <c r="AN61"/>
      <c r="AO61"/>
    </row>
    <row r="62" spans="1:41" ht="12.75" customHeight="1">
      <c r="A62" s="1030">
        <v>61</v>
      </c>
      <c r="B62" s="1030"/>
      <c r="C62" s="1034" t="s">
        <v>515</v>
      </c>
      <c r="D62" s="106">
        <v>0.11</v>
      </c>
      <c r="E62" s="106">
        <v>0.12</v>
      </c>
      <c r="F62" s="1032">
        <v>2.07</v>
      </c>
      <c r="G62" s="1032">
        <v>2.2</v>
      </c>
      <c r="H62" s="1033">
        <v>0.26</v>
      </c>
      <c r="I62" s="1034">
        <v>600</v>
      </c>
      <c r="J62" s="1053"/>
      <c r="K62" s="1054"/>
      <c r="L62" s="1034">
        <v>3</v>
      </c>
      <c r="M62" s="1056"/>
      <c r="N62" s="94"/>
      <c r="O62">
        <v>0</v>
      </c>
      <c r="P62"/>
      <c r="R62"/>
      <c r="S62"/>
      <c r="U62" s="88"/>
      <c r="V62"/>
      <c r="AD62"/>
      <c r="AE62"/>
      <c r="AG62" s="789"/>
      <c r="AH62" s="788"/>
      <c r="AK62" s="498"/>
      <c r="AL62" s="498"/>
      <c r="AM62" s="498"/>
      <c r="AN62"/>
      <c r="AO62"/>
    </row>
    <row r="63" spans="1:41" ht="12.75" customHeight="1">
      <c r="A63" s="1030">
        <v>62</v>
      </c>
      <c r="B63" s="1030"/>
      <c r="C63" s="1034" t="s">
        <v>516</v>
      </c>
      <c r="D63" s="1060">
        <v>0.087</v>
      </c>
      <c r="E63" s="106">
        <v>0.09</v>
      </c>
      <c r="F63" s="1032">
        <v>1.5</v>
      </c>
      <c r="G63" s="1032">
        <v>1.56</v>
      </c>
      <c r="H63" s="1033">
        <v>0.3</v>
      </c>
      <c r="I63" s="1034">
        <v>400</v>
      </c>
      <c r="J63" s="1053"/>
      <c r="K63" s="1054"/>
      <c r="L63" s="1034">
        <v>3</v>
      </c>
      <c r="M63" s="1056"/>
      <c r="N63" s="94"/>
      <c r="O63">
        <v>0</v>
      </c>
      <c r="P63"/>
      <c r="R63"/>
      <c r="S63"/>
      <c r="U63" s="88"/>
      <c r="V63"/>
      <c r="AD63"/>
      <c r="AE63"/>
      <c r="AG63" s="789"/>
      <c r="AH63" s="788"/>
      <c r="AK63" s="498"/>
      <c r="AL63" s="498"/>
      <c r="AM63" s="498"/>
      <c r="AN63"/>
      <c r="AO63"/>
    </row>
    <row r="64" spans="1:52" ht="12.75" customHeight="1">
      <c r="A64" s="1030">
        <v>63</v>
      </c>
      <c r="B64" s="1030"/>
      <c r="C64" s="1034" t="s">
        <v>517</v>
      </c>
      <c r="D64" s="1063">
        <v>0.47</v>
      </c>
      <c r="E64" s="1063">
        <v>0.58</v>
      </c>
      <c r="F64" s="1063">
        <v>6.95</v>
      </c>
      <c r="G64" s="1063">
        <v>7.91</v>
      </c>
      <c r="H64" s="1064">
        <v>0.17</v>
      </c>
      <c r="I64" s="1063">
        <v>1600</v>
      </c>
      <c r="J64" s="1053"/>
      <c r="K64" s="1054"/>
      <c r="L64" s="1034"/>
      <c r="M64" s="1056">
        <v>0.8</v>
      </c>
      <c r="N64" s="94"/>
      <c r="O64">
        <v>0</v>
      </c>
      <c r="P64"/>
      <c r="R64"/>
      <c r="S64"/>
      <c r="U64" s="88"/>
      <c r="V64" s="39"/>
      <c r="W64" s="39"/>
      <c r="X64" s="39"/>
      <c r="Y64" s="39"/>
      <c r="Z64" s="39"/>
      <c r="AA64" s="39"/>
      <c r="AB64" s="39"/>
      <c r="AC64" s="88"/>
      <c r="AD64" s="88"/>
      <c r="AE64" s="88"/>
      <c r="AF64" s="88"/>
      <c r="AG64" s="787"/>
      <c r="AH64" s="788"/>
      <c r="AK64" s="777"/>
      <c r="AN64" s="8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2" ht="12.75" customHeight="1">
      <c r="A65" s="1030">
        <v>64</v>
      </c>
      <c r="B65" s="1030"/>
      <c r="C65" s="104" t="s">
        <v>518</v>
      </c>
      <c r="D65" s="1060">
        <v>0.22</v>
      </c>
      <c r="E65" s="106">
        <v>0.22</v>
      </c>
      <c r="F65" s="1032">
        <v>5.69</v>
      </c>
      <c r="G65" s="1032">
        <v>5.69</v>
      </c>
      <c r="H65" s="1033">
        <v>0.008</v>
      </c>
      <c r="I65" s="1034">
        <v>1200</v>
      </c>
      <c r="J65" s="1053"/>
      <c r="K65" s="1054"/>
      <c r="L65" s="1034"/>
      <c r="M65" s="1056"/>
      <c r="N65" s="94"/>
      <c r="O65">
        <v>0</v>
      </c>
      <c r="P65"/>
      <c r="R65"/>
      <c r="S65"/>
      <c r="U65" s="88"/>
      <c r="V65" s="39"/>
      <c r="W65" s="39"/>
      <c r="X65" s="39"/>
      <c r="Y65" s="39"/>
      <c r="Z65" s="39"/>
      <c r="AA65" s="39"/>
      <c r="AB65" s="39"/>
      <c r="AC65" s="88"/>
      <c r="AD65" s="88"/>
      <c r="AE65" s="88"/>
      <c r="AF65" s="88"/>
      <c r="AG65" s="787"/>
      <c r="AH65" s="788"/>
      <c r="AK65" s="777"/>
      <c r="AN65" s="8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2" ht="12.75" customHeight="1">
      <c r="A66" s="1030">
        <v>65</v>
      </c>
      <c r="B66" s="1030"/>
      <c r="C66" s="104" t="s">
        <v>519</v>
      </c>
      <c r="D66" s="1060">
        <v>0.17</v>
      </c>
      <c r="E66" s="106">
        <v>0.17</v>
      </c>
      <c r="F66" s="1032">
        <v>4.56</v>
      </c>
      <c r="G66" s="1032">
        <v>4.56</v>
      </c>
      <c r="H66" s="1033">
        <v>0.008</v>
      </c>
      <c r="I66" s="1034">
        <v>1000</v>
      </c>
      <c r="J66" s="1053"/>
      <c r="K66" s="1054"/>
      <c r="L66" s="1034"/>
      <c r="M66" s="1056"/>
      <c r="N66" s="94"/>
      <c r="O66">
        <v>0</v>
      </c>
      <c r="P66"/>
      <c r="R66"/>
      <c r="S66"/>
      <c r="U66" s="88"/>
      <c r="V66" s="39"/>
      <c r="W66" s="39"/>
      <c r="X66" s="39"/>
      <c r="Y66" s="39"/>
      <c r="Z66" s="39"/>
      <c r="AA66" s="39"/>
      <c r="AB66" s="39"/>
      <c r="AC66" s="88"/>
      <c r="AD66" s="88"/>
      <c r="AE66" s="88"/>
      <c r="AF66" s="88"/>
      <c r="AG66" s="787"/>
      <c r="AH66" s="788"/>
      <c r="AK66" s="777"/>
      <c r="AN66" s="8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1:52" ht="12.75" customHeight="1">
      <c r="A67" s="1030">
        <v>66</v>
      </c>
      <c r="B67" s="1030"/>
      <c r="C67" s="104" t="s">
        <v>520</v>
      </c>
      <c r="D67" s="1060">
        <v>0.12</v>
      </c>
      <c r="E67" s="106">
        <v>0.13</v>
      </c>
      <c r="F67" s="1032">
        <v>2.54</v>
      </c>
      <c r="G67" s="1032">
        <v>2.59</v>
      </c>
      <c r="H67" s="1033">
        <v>0.04</v>
      </c>
      <c r="I67" s="1034">
        <v>400</v>
      </c>
      <c r="J67" s="1053"/>
      <c r="K67" s="1054"/>
      <c r="L67" s="1034"/>
      <c r="M67" s="1056"/>
      <c r="N67" s="94"/>
      <c r="O67">
        <v>0</v>
      </c>
      <c r="P67"/>
      <c r="R67"/>
      <c r="S67"/>
      <c r="U67" s="88"/>
      <c r="V67" s="39"/>
      <c r="W67" s="39"/>
      <c r="X67" s="39"/>
      <c r="Y67" s="39"/>
      <c r="Z67" s="39"/>
      <c r="AA67" s="39"/>
      <c r="AB67" s="39"/>
      <c r="AC67" s="88"/>
      <c r="AD67" s="88"/>
      <c r="AE67" s="88"/>
      <c r="AF67" s="88"/>
      <c r="AG67" s="787"/>
      <c r="AH67" s="788"/>
      <c r="AK67" s="777"/>
      <c r="AN67" s="88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2.75" customHeight="1">
      <c r="A68" s="1030">
        <v>67</v>
      </c>
      <c r="B68" s="1030"/>
      <c r="C68" s="104" t="s">
        <v>521</v>
      </c>
      <c r="D68" s="1060">
        <v>0.17</v>
      </c>
      <c r="E68" s="106">
        <v>0.17</v>
      </c>
      <c r="F68" s="1032">
        <v>3.53</v>
      </c>
      <c r="G68" s="1032">
        <v>3.53</v>
      </c>
      <c r="H68" s="1033">
        <v>0.001</v>
      </c>
      <c r="I68" s="1034">
        <v>1000</v>
      </c>
      <c r="J68" s="1053"/>
      <c r="K68" s="1054"/>
      <c r="L68" s="1034"/>
      <c r="M68" s="1056">
        <v>0.65</v>
      </c>
      <c r="N68" s="94"/>
      <c r="O68">
        <v>0</v>
      </c>
      <c r="P68"/>
      <c r="R68"/>
      <c r="S68"/>
      <c r="U68" s="88"/>
      <c r="V68" s="39"/>
      <c r="W68" s="39"/>
      <c r="X68" s="39"/>
      <c r="Y68" s="39"/>
      <c r="Z68" s="39"/>
      <c r="AA68" s="39"/>
      <c r="AB68" s="39"/>
      <c r="AC68" s="88"/>
      <c r="AD68" s="88"/>
      <c r="AE68" s="88"/>
      <c r="AF68" s="88"/>
      <c r="AG68" s="787"/>
      <c r="AH68" s="788"/>
      <c r="AK68" s="777"/>
      <c r="AN68" s="88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2" ht="12.75" customHeight="1">
      <c r="A69" s="1030">
        <v>68</v>
      </c>
      <c r="B69" s="1030"/>
      <c r="C69" s="1065" t="s">
        <v>522</v>
      </c>
      <c r="D69" s="1060">
        <v>0.33</v>
      </c>
      <c r="E69" s="106">
        <v>0.33</v>
      </c>
      <c r="F69" s="1032">
        <v>7.52</v>
      </c>
      <c r="G69" s="1032">
        <v>7.52</v>
      </c>
      <c r="H69" s="1033">
        <v>0.002</v>
      </c>
      <c r="I69" s="1034">
        <v>1600</v>
      </c>
      <c r="J69" s="1053"/>
      <c r="K69" s="1054"/>
      <c r="L69" s="1034"/>
      <c r="M69" s="1056"/>
      <c r="N69" s="94"/>
      <c r="O69">
        <v>0</v>
      </c>
      <c r="P69"/>
      <c r="R69"/>
      <c r="S69"/>
      <c r="U69" s="88"/>
      <c r="V69" s="39"/>
      <c r="W69" s="39"/>
      <c r="X69" s="39"/>
      <c r="Y69" s="39"/>
      <c r="Z69" s="39"/>
      <c r="AA69" s="39"/>
      <c r="AB69" s="39"/>
      <c r="AC69" s="88"/>
      <c r="AD69" s="88"/>
      <c r="AE69" s="88"/>
      <c r="AF69" s="88"/>
      <c r="AG69" s="787"/>
      <c r="AH69" s="788"/>
      <c r="AK69" s="777"/>
      <c r="AN69" s="8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2.75" customHeight="1">
      <c r="A70" s="1030">
        <v>69</v>
      </c>
      <c r="B70" s="1030"/>
      <c r="C70" s="1034" t="s">
        <v>523</v>
      </c>
      <c r="D70" s="1060">
        <v>0.3</v>
      </c>
      <c r="E70" s="1060">
        <v>0.3</v>
      </c>
      <c r="F70" s="1032">
        <v>8.56</v>
      </c>
      <c r="G70" s="1032">
        <v>8.56</v>
      </c>
      <c r="H70" s="1033">
        <v>2E-05</v>
      </c>
      <c r="I70" s="1034">
        <v>1600</v>
      </c>
      <c r="J70" s="1053"/>
      <c r="K70" s="1054"/>
      <c r="L70" s="1034"/>
      <c r="M70" s="1056"/>
      <c r="N70" s="94"/>
      <c r="O70">
        <v>0</v>
      </c>
      <c r="P70"/>
      <c r="R70"/>
      <c r="S70"/>
      <c r="U70" s="88"/>
      <c r="V70" s="39"/>
      <c r="W70" s="39"/>
      <c r="X70" s="39"/>
      <c r="Y70" s="39"/>
      <c r="Z70" s="39"/>
      <c r="AA70" s="39"/>
      <c r="AB70" s="39"/>
      <c r="AC70" s="88"/>
      <c r="AD70" s="88"/>
      <c r="AE70" s="88"/>
      <c r="AF70" s="88"/>
      <c r="AG70" s="787"/>
      <c r="AH70" s="788"/>
      <c r="AK70" s="777"/>
      <c r="AN70" s="88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ht="12.75" customHeight="1">
      <c r="A71" s="1030">
        <v>70</v>
      </c>
      <c r="B71" s="1030"/>
      <c r="C71" s="1061" t="s">
        <v>524</v>
      </c>
      <c r="D71" s="1060"/>
      <c r="E71" s="106"/>
      <c r="F71" s="1032"/>
      <c r="G71" s="1032"/>
      <c r="H71" s="1033"/>
      <c r="I71" s="1034"/>
      <c r="J71" s="1053"/>
      <c r="K71" s="1054"/>
      <c r="L71" s="1034"/>
      <c r="M71" s="1056"/>
      <c r="N71" s="94"/>
      <c r="O71">
        <v>0</v>
      </c>
      <c r="P71"/>
      <c r="R71"/>
      <c r="S71"/>
      <c r="U71" s="88"/>
      <c r="V71" s="39"/>
      <c r="W71" s="39"/>
      <c r="X71" s="39"/>
      <c r="Y71" s="39"/>
      <c r="Z71" s="39"/>
      <c r="AA71" s="39"/>
      <c r="AB71" s="39"/>
      <c r="AC71" s="88"/>
      <c r="AD71" s="88"/>
      <c r="AE71" s="88"/>
      <c r="AF71" s="88"/>
      <c r="AG71" s="787"/>
      <c r="AH71" s="788"/>
      <c r="AK71" s="777"/>
      <c r="AN71" s="8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</row>
    <row r="72" spans="1:52" ht="12.75" customHeight="1">
      <c r="A72" s="1030">
        <v>71</v>
      </c>
      <c r="B72" s="1030"/>
      <c r="C72" s="1065" t="s">
        <v>525</v>
      </c>
      <c r="D72" s="106">
        <v>58</v>
      </c>
      <c r="E72" s="106">
        <v>58</v>
      </c>
      <c r="F72" s="1032">
        <v>126.5</v>
      </c>
      <c r="G72" s="1032">
        <v>112.5</v>
      </c>
      <c r="H72" s="1033">
        <v>0.001</v>
      </c>
      <c r="I72" s="1034">
        <v>7850</v>
      </c>
      <c r="J72" s="1053"/>
      <c r="K72" s="1054"/>
      <c r="L72" s="1034"/>
      <c r="M72" s="1056">
        <v>0.45</v>
      </c>
      <c r="N72" s="94"/>
      <c r="O72" s="1185">
        <v>0</v>
      </c>
      <c r="P72"/>
      <c r="R72"/>
      <c r="S72"/>
      <c r="U72" s="88"/>
      <c r="V72" s="39"/>
      <c r="W72" s="39"/>
      <c r="X72" s="39"/>
      <c r="Y72" s="39"/>
      <c r="Z72" s="39"/>
      <c r="AA72" s="39"/>
      <c r="AB72" s="39"/>
      <c r="AC72" s="88"/>
      <c r="AD72" s="88"/>
      <c r="AE72" s="88"/>
      <c r="AF72" s="88"/>
      <c r="AG72" s="787"/>
      <c r="AH72" s="788"/>
      <c r="AK72" s="777"/>
      <c r="AN72" s="8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ht="12.75" customHeight="1">
      <c r="A73" s="1030">
        <v>72</v>
      </c>
      <c r="B73" s="1030"/>
      <c r="C73" s="1065" t="s">
        <v>526</v>
      </c>
      <c r="D73" s="106">
        <v>0.76</v>
      </c>
      <c r="E73" s="106">
        <v>0.76</v>
      </c>
      <c r="F73" s="1066">
        <v>10.79</v>
      </c>
      <c r="G73" s="1066">
        <v>10.79</v>
      </c>
      <c r="H73" s="1033">
        <v>0.001</v>
      </c>
      <c r="I73" s="1034">
        <v>2500</v>
      </c>
      <c r="J73" s="1053"/>
      <c r="K73" s="1054"/>
      <c r="L73" s="1034"/>
      <c r="M73" s="1056"/>
      <c r="N73" s="94"/>
      <c r="O73" s="1185">
        <v>0</v>
      </c>
      <c r="P73"/>
      <c r="R73"/>
      <c r="S73"/>
      <c r="U73" s="88"/>
      <c r="V73" s="39"/>
      <c r="W73" s="39"/>
      <c r="X73" s="39"/>
      <c r="Y73" s="39"/>
      <c r="Z73" s="39"/>
      <c r="AA73" s="39"/>
      <c r="AB73" s="39"/>
      <c r="AC73" s="88"/>
      <c r="AD73" s="88"/>
      <c r="AE73" s="88"/>
      <c r="AF73" s="88"/>
      <c r="AG73" s="787"/>
      <c r="AH73" s="788"/>
      <c r="AK73" s="777"/>
      <c r="AN73" s="88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2.75" customHeight="1">
      <c r="A74" s="1030">
        <v>73</v>
      </c>
      <c r="B74" s="1030"/>
      <c r="C74" s="1067" t="s">
        <v>527</v>
      </c>
      <c r="D74" s="1034"/>
      <c r="E74" s="1034"/>
      <c r="F74" s="1034"/>
      <c r="G74" s="1034"/>
      <c r="H74" s="106"/>
      <c r="I74" s="1034"/>
      <c r="J74" s="1053"/>
      <c r="K74" s="1054"/>
      <c r="L74" s="1034"/>
      <c r="M74" s="1056"/>
      <c r="N74" s="94"/>
      <c r="O74" s="1185">
        <v>0</v>
      </c>
      <c r="P74"/>
      <c r="R74"/>
      <c r="S74"/>
      <c r="U74" s="88"/>
      <c r="V74" s="39"/>
      <c r="W74" s="39"/>
      <c r="X74" s="39"/>
      <c r="Y74" s="39"/>
      <c r="Z74" s="39"/>
      <c r="AA74" s="39"/>
      <c r="AB74" s="39"/>
      <c r="AC74" s="88"/>
      <c r="AD74" s="88"/>
      <c r="AE74" s="88"/>
      <c r="AF74" s="88"/>
      <c r="AG74" s="787"/>
      <c r="AH74" s="788"/>
      <c r="AK74" s="777"/>
      <c r="AN74" s="8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ht="12.75" customHeight="1">
      <c r="A75" s="1030">
        <v>74</v>
      </c>
      <c r="B75" s="1030"/>
      <c r="C75" s="1034" t="s">
        <v>528</v>
      </c>
      <c r="D75" s="1034">
        <v>1.05</v>
      </c>
      <c r="E75" s="1034">
        <v>1.05</v>
      </c>
      <c r="F75" s="1032">
        <v>17.98</v>
      </c>
      <c r="G75" s="1032">
        <v>19.95</v>
      </c>
      <c r="H75" s="1033">
        <v>0.03</v>
      </c>
      <c r="I75" s="1034">
        <v>2500</v>
      </c>
      <c r="J75" s="1053">
        <v>19620</v>
      </c>
      <c r="K75" s="1054">
        <v>100</v>
      </c>
      <c r="L75" s="1034">
        <v>2</v>
      </c>
      <c r="M75" s="1056">
        <v>0.7</v>
      </c>
      <c r="N75" s="94"/>
      <c r="O75" s="1185">
        <v>0</v>
      </c>
      <c r="P75"/>
      <c r="R75"/>
      <c r="S75"/>
      <c r="U75" s="88"/>
      <c r="V75" s="39"/>
      <c r="W75" s="39"/>
      <c r="X75" s="39"/>
      <c r="Y75" s="39"/>
      <c r="Z75" s="39"/>
      <c r="AA75" s="39"/>
      <c r="AB75" s="39"/>
      <c r="AC75" s="88"/>
      <c r="AD75" s="88"/>
      <c r="AE75" s="88"/>
      <c r="AF75" s="88"/>
      <c r="AG75" s="787"/>
      <c r="AH75" s="788"/>
      <c r="AK75" s="777"/>
      <c r="AN75" s="88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</row>
    <row r="76" spans="1:52" ht="12.75" customHeight="1">
      <c r="A76" s="1030">
        <v>75</v>
      </c>
      <c r="B76" s="1030"/>
      <c r="C76" s="1034" t="s">
        <v>529</v>
      </c>
      <c r="D76" s="1034">
        <v>0.04</v>
      </c>
      <c r="E76" s="1034">
        <v>0.04</v>
      </c>
      <c r="F76" s="1066">
        <v>1.5</v>
      </c>
      <c r="G76" s="1066">
        <v>1.5</v>
      </c>
      <c r="H76" s="106"/>
      <c r="I76" s="1034">
        <v>50</v>
      </c>
      <c r="J76" s="1053"/>
      <c r="K76" s="1054"/>
      <c r="L76" s="1034">
        <v>1.5</v>
      </c>
      <c r="M76" s="1056"/>
      <c r="N76" s="94"/>
      <c r="O76" s="1185">
        <v>0</v>
      </c>
      <c r="P76"/>
      <c r="R76"/>
      <c r="S76"/>
      <c r="U76" s="88"/>
      <c r="V76" s="39"/>
      <c r="W76" s="39"/>
      <c r="X76" s="39"/>
      <c r="Y76" s="39"/>
      <c r="Z76" s="39"/>
      <c r="AA76" s="39"/>
      <c r="AB76" s="39"/>
      <c r="AC76" s="88"/>
      <c r="AD76" s="88"/>
      <c r="AE76" s="88"/>
      <c r="AF76" s="88"/>
      <c r="AG76" s="787"/>
      <c r="AH76" s="788"/>
      <c r="AK76" s="777"/>
      <c r="AN76" s="88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</row>
    <row r="77" spans="1:52" ht="12.75" customHeight="1">
      <c r="A77" s="1030">
        <v>76</v>
      </c>
      <c r="B77" s="1030"/>
      <c r="C77" s="1034" t="s">
        <v>530</v>
      </c>
      <c r="D77" s="1034">
        <v>0.19</v>
      </c>
      <c r="E77" s="1034">
        <v>0.19</v>
      </c>
      <c r="F77" s="1034">
        <v>4</v>
      </c>
      <c r="G77" s="1034">
        <v>5</v>
      </c>
      <c r="H77" s="106">
        <v>0.075</v>
      </c>
      <c r="I77" s="1034">
        <v>1200</v>
      </c>
      <c r="J77" s="1053">
        <v>10</v>
      </c>
      <c r="K77" s="1054">
        <v>20</v>
      </c>
      <c r="L77" s="1034"/>
      <c r="M77" s="1056"/>
      <c r="N77" s="94"/>
      <c r="O77" s="1185">
        <v>0</v>
      </c>
      <c r="P77"/>
      <c r="R77"/>
      <c r="S77"/>
      <c r="U77" s="88"/>
      <c r="V77" s="39"/>
      <c r="W77" s="39"/>
      <c r="X77" s="39"/>
      <c r="Y77" s="39"/>
      <c r="Z77" s="39"/>
      <c r="AA77" s="39"/>
      <c r="AB77" s="39"/>
      <c r="AC77" s="88"/>
      <c r="AD77" s="88"/>
      <c r="AE77" s="88"/>
      <c r="AF77" s="88"/>
      <c r="AG77" s="787"/>
      <c r="AH77" s="788"/>
      <c r="AK77" s="777"/>
      <c r="AN77" s="88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1:52" ht="12.75" customHeight="1">
      <c r="A78" s="1030">
        <v>77</v>
      </c>
      <c r="B78" s="1030"/>
      <c r="C78" s="1034" t="s">
        <v>531</v>
      </c>
      <c r="D78" s="1034">
        <v>221</v>
      </c>
      <c r="E78" s="1034">
        <v>221</v>
      </c>
      <c r="F78" s="1034">
        <v>187.6</v>
      </c>
      <c r="G78" s="1034">
        <v>187.6</v>
      </c>
      <c r="H78" s="106">
        <v>0.11</v>
      </c>
      <c r="I78" s="1034">
        <v>2600</v>
      </c>
      <c r="J78" s="1053"/>
      <c r="K78" s="1054"/>
      <c r="L78" s="1034"/>
      <c r="M78" s="1056">
        <v>0.5</v>
      </c>
      <c r="N78" s="94"/>
      <c r="O78" s="1185">
        <v>0</v>
      </c>
      <c r="P78"/>
      <c r="R78"/>
      <c r="S78"/>
      <c r="U78" s="88"/>
      <c r="V78" s="39"/>
      <c r="W78" s="39"/>
      <c r="X78" s="39"/>
      <c r="Y78" s="39"/>
      <c r="Z78" s="39"/>
      <c r="AA78" s="39"/>
      <c r="AB78" s="39"/>
      <c r="AC78" s="88"/>
      <c r="AD78" s="88"/>
      <c r="AE78" s="88"/>
      <c r="AF78" s="88"/>
      <c r="AG78" s="787"/>
      <c r="AH78" s="788"/>
      <c r="AK78" s="777"/>
      <c r="AN78" s="88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1:52" ht="12.75" customHeight="1">
      <c r="A79" s="1030">
        <v>78</v>
      </c>
      <c r="B79" s="1030"/>
      <c r="C79" s="1034" t="s">
        <v>532</v>
      </c>
      <c r="D79" s="112">
        <v>0.7</v>
      </c>
      <c r="E79" s="112">
        <v>0.81</v>
      </c>
      <c r="F79" s="1032">
        <v>9.2</v>
      </c>
      <c r="G79" s="1032">
        <v>10.2</v>
      </c>
      <c r="H79" s="1033">
        <v>0.11</v>
      </c>
      <c r="I79" s="1034">
        <v>1800</v>
      </c>
      <c r="J79" s="1053"/>
      <c r="K79" s="1054"/>
      <c r="L79" s="1034"/>
      <c r="M79" s="1056">
        <v>0.8</v>
      </c>
      <c r="N79" s="94"/>
      <c r="O79" s="1185">
        <v>0</v>
      </c>
      <c r="P79"/>
      <c r="R79"/>
      <c r="S79"/>
      <c r="U79" s="88"/>
      <c r="V79" s="39"/>
      <c r="W79" s="39"/>
      <c r="X79" s="39"/>
      <c r="Y79" s="39"/>
      <c r="Z79" s="39"/>
      <c r="AA79" s="39"/>
      <c r="AB79" s="39"/>
      <c r="AC79" s="88"/>
      <c r="AD79" s="88"/>
      <c r="AE79" s="88"/>
      <c r="AF79" s="88"/>
      <c r="AG79" s="787"/>
      <c r="AH79" s="788"/>
      <c r="AK79" s="777"/>
      <c r="AN79" s="88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</row>
    <row r="80" spans="1:52" ht="12.75" customHeight="1">
      <c r="A80" s="1030">
        <v>79</v>
      </c>
      <c r="B80" s="1030"/>
      <c r="C80" s="1034" t="s">
        <v>533</v>
      </c>
      <c r="D80" s="1051">
        <v>1.92</v>
      </c>
      <c r="E80" s="1052">
        <v>2.04</v>
      </c>
      <c r="F80" s="1032">
        <v>17.98</v>
      </c>
      <c r="G80" s="1032">
        <v>19.95</v>
      </c>
      <c r="H80" s="1033">
        <v>0.03</v>
      </c>
      <c r="I80" s="1034">
        <v>2500</v>
      </c>
      <c r="J80" s="1053">
        <v>19620</v>
      </c>
      <c r="K80" s="1054">
        <v>100</v>
      </c>
      <c r="L80" s="1034">
        <v>0.7</v>
      </c>
      <c r="M80" s="1056"/>
      <c r="N80" s="94"/>
      <c r="O80" s="1185">
        <v>0</v>
      </c>
      <c r="P80"/>
      <c r="R80"/>
      <c r="S80"/>
      <c r="U80" s="88"/>
      <c r="V80" s="39"/>
      <c r="W80" s="39"/>
      <c r="X80" s="39"/>
      <c r="Y80" s="39"/>
      <c r="Z80" s="39"/>
      <c r="AA80" s="39"/>
      <c r="AB80" s="39"/>
      <c r="AC80" s="88"/>
      <c r="AD80" s="88"/>
      <c r="AE80" s="88"/>
      <c r="AF80" s="88"/>
      <c r="AG80" s="787"/>
      <c r="AH80" s="788"/>
      <c r="AK80" s="777"/>
      <c r="AN80" s="8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</row>
    <row r="81" spans="1:52" ht="13.5" customHeight="1">
      <c r="A81" s="1030">
        <v>80</v>
      </c>
      <c r="B81" s="1030"/>
      <c r="C81" s="1068" t="s">
        <v>534</v>
      </c>
      <c r="D81" s="1034">
        <v>0.21</v>
      </c>
      <c r="E81" s="1034">
        <v>0.23</v>
      </c>
      <c r="F81" s="1034">
        <v>6.2</v>
      </c>
      <c r="G81" s="1034">
        <v>6.7</v>
      </c>
      <c r="H81" s="106">
        <v>0.0012</v>
      </c>
      <c r="I81" s="1034">
        <v>1000</v>
      </c>
      <c r="J81" s="1053"/>
      <c r="K81" s="1054"/>
      <c r="L81" s="1034"/>
      <c r="M81" s="1056"/>
      <c r="O81" s="1185">
        <v>0</v>
      </c>
      <c r="P81"/>
      <c r="R81"/>
      <c r="S81"/>
      <c r="U81" s="88"/>
      <c r="V81" s="39"/>
      <c r="W81" s="39"/>
      <c r="X81" s="39"/>
      <c r="Y81" s="39"/>
      <c r="Z81" s="39"/>
      <c r="AA81" s="39"/>
      <c r="AB81" s="39"/>
      <c r="AC81" s="88"/>
      <c r="AD81" s="88"/>
      <c r="AE81" s="88"/>
      <c r="AF81" s="88"/>
      <c r="AG81" s="787"/>
      <c r="AH81" s="788"/>
      <c r="AK81" s="777"/>
      <c r="AN81" s="88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</row>
    <row r="82" spans="1:52" ht="12.75" customHeight="1">
      <c r="A82" s="1030">
        <v>81</v>
      </c>
      <c r="B82" s="1030"/>
      <c r="C82" s="1068" t="s">
        <v>535</v>
      </c>
      <c r="D82" s="1034">
        <v>0.04</v>
      </c>
      <c r="E82" s="1034">
        <v>0.04</v>
      </c>
      <c r="F82" s="1032">
        <v>0.42</v>
      </c>
      <c r="G82" s="1032">
        <v>0.48</v>
      </c>
      <c r="H82" s="1033">
        <v>0.6</v>
      </c>
      <c r="I82" s="1034">
        <v>100</v>
      </c>
      <c r="J82" s="1053">
        <v>2</v>
      </c>
      <c r="K82" s="1054">
        <v>50</v>
      </c>
      <c r="L82" s="1034">
        <v>3</v>
      </c>
      <c r="M82" s="1056"/>
      <c r="N82" s="94"/>
      <c r="O82" s="1185">
        <v>0</v>
      </c>
      <c r="P82"/>
      <c r="R82"/>
      <c r="S82"/>
      <c r="U82" s="88"/>
      <c r="V82" s="39"/>
      <c r="W82" s="39"/>
      <c r="X82" s="39"/>
      <c r="Y82" s="39"/>
      <c r="Z82" s="39"/>
      <c r="AA82" s="39"/>
      <c r="AB82" s="39"/>
      <c r="AC82" s="88"/>
      <c r="AD82" s="88"/>
      <c r="AE82" s="88"/>
      <c r="AF82" s="88"/>
      <c r="AG82" s="787"/>
      <c r="AH82" s="788"/>
      <c r="AK82" s="777"/>
      <c r="AN82" s="8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</row>
    <row r="83" spans="1:52" ht="12.75" customHeight="1">
      <c r="A83" s="1030">
        <v>82</v>
      </c>
      <c r="B83" s="1030"/>
      <c r="C83" s="1068" t="s">
        <v>536</v>
      </c>
      <c r="D83" s="106">
        <v>58</v>
      </c>
      <c r="E83" s="106">
        <v>58</v>
      </c>
      <c r="F83" s="1032">
        <v>112.5</v>
      </c>
      <c r="G83" s="1032">
        <v>112.5</v>
      </c>
      <c r="H83" s="1033">
        <v>0.001</v>
      </c>
      <c r="I83" s="1034">
        <v>7850</v>
      </c>
      <c r="J83" s="1053"/>
      <c r="K83" s="1054"/>
      <c r="L83" s="1034"/>
      <c r="M83" s="1056"/>
      <c r="N83" s="94"/>
      <c r="O83" s="1185">
        <v>0</v>
      </c>
      <c r="P83"/>
      <c r="R83"/>
      <c r="S83"/>
      <c r="U83" s="88"/>
      <c r="V83" s="39"/>
      <c r="W83" s="39"/>
      <c r="X83" s="39"/>
      <c r="Y83" s="39"/>
      <c r="Z83" s="39"/>
      <c r="AA83" s="39"/>
      <c r="AB83" s="39"/>
      <c r="AC83" s="88"/>
      <c r="AD83" s="88"/>
      <c r="AE83" s="88"/>
      <c r="AF83" s="88"/>
      <c r="AG83" s="787"/>
      <c r="AH83" s="788"/>
      <c r="AK83" s="777"/>
      <c r="AN83" s="88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</row>
    <row r="84" spans="1:52" ht="12.75" customHeight="1">
      <c r="A84" s="1030">
        <v>83</v>
      </c>
      <c r="B84" s="1030"/>
      <c r="C84" s="1068" t="s">
        <v>537</v>
      </c>
      <c r="D84" s="1060">
        <v>0.38</v>
      </c>
      <c r="E84" s="106">
        <v>0.38</v>
      </c>
      <c r="F84" s="1032">
        <v>8.56</v>
      </c>
      <c r="G84" s="1032">
        <v>8.56</v>
      </c>
      <c r="H84" s="1033">
        <v>0.0003</v>
      </c>
      <c r="I84" s="1034">
        <v>1600</v>
      </c>
      <c r="J84" s="1053"/>
      <c r="K84" s="1054"/>
      <c r="L84" s="1034"/>
      <c r="M84" s="1056"/>
      <c r="N84" s="94"/>
      <c r="O84" s="1185">
        <v>0</v>
      </c>
      <c r="P84"/>
      <c r="R84"/>
      <c r="S84"/>
      <c r="U84" s="88"/>
      <c r="V84" s="39"/>
      <c r="W84" s="39"/>
      <c r="X84" s="39"/>
      <c r="Y84" s="39"/>
      <c r="Z84" s="39"/>
      <c r="AA84" s="39"/>
      <c r="AB84" s="39"/>
      <c r="AC84" s="88"/>
      <c r="AD84" s="88"/>
      <c r="AE84" s="88"/>
      <c r="AF84" s="88"/>
      <c r="AG84" s="787"/>
      <c r="AH84" s="788"/>
      <c r="AK84" s="777"/>
      <c r="AN84" s="88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</row>
    <row r="85" spans="1:52" ht="12.75" customHeight="1">
      <c r="A85" s="1030">
        <v>84</v>
      </c>
      <c r="B85" s="1030"/>
      <c r="C85" s="1068" t="s">
        <v>538</v>
      </c>
      <c r="D85" s="112">
        <v>2.91</v>
      </c>
      <c r="E85" s="112">
        <v>2.91</v>
      </c>
      <c r="F85" s="1032">
        <v>22.86</v>
      </c>
      <c r="G85" s="1032">
        <v>22.86</v>
      </c>
      <c r="H85" s="1033">
        <v>0.008</v>
      </c>
      <c r="I85" s="1034">
        <v>2800</v>
      </c>
      <c r="J85" s="1053">
        <v>6</v>
      </c>
      <c r="K85" s="1054"/>
      <c r="L85" s="1034"/>
      <c r="M85" s="1056">
        <v>0.8</v>
      </c>
      <c r="N85" s="94"/>
      <c r="O85" s="1185">
        <v>0</v>
      </c>
      <c r="P85"/>
      <c r="R85"/>
      <c r="S85"/>
      <c r="U85" s="88"/>
      <c r="V85" s="39"/>
      <c r="W85" s="39"/>
      <c r="X85" s="39"/>
      <c r="Y85" s="39"/>
      <c r="Z85" s="39"/>
      <c r="AA85" s="39"/>
      <c r="AB85" s="39"/>
      <c r="AC85" s="88"/>
      <c r="AD85" s="88"/>
      <c r="AE85" s="88"/>
      <c r="AF85" s="88"/>
      <c r="AG85" s="787"/>
      <c r="AH85" s="788"/>
      <c r="AK85" s="777"/>
      <c r="AN85" s="88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</row>
    <row r="86" spans="1:52" ht="12.75" customHeight="1">
      <c r="A86" s="1030">
        <v>85</v>
      </c>
      <c r="B86" s="1030"/>
      <c r="C86" s="1068" t="s">
        <v>539</v>
      </c>
      <c r="D86" s="112">
        <v>0.7</v>
      </c>
      <c r="E86" s="112">
        <v>0.8</v>
      </c>
      <c r="F86" s="1032">
        <v>3</v>
      </c>
      <c r="G86" s="1032">
        <v>11.09</v>
      </c>
      <c r="H86" s="1033">
        <v>0.09</v>
      </c>
      <c r="I86" s="1034">
        <v>1800</v>
      </c>
      <c r="J86" s="1053">
        <v>373</v>
      </c>
      <c r="K86" s="1054"/>
      <c r="L86" s="1034"/>
      <c r="M86" s="1056"/>
      <c r="N86" s="94"/>
      <c r="O86" s="1185">
        <v>0</v>
      </c>
      <c r="P86"/>
      <c r="R86"/>
      <c r="S86"/>
      <c r="U86" s="88"/>
      <c r="V86" s="39"/>
      <c r="W86" s="39"/>
      <c r="X86" s="39"/>
      <c r="Y86" s="39"/>
      <c r="Z86" s="39"/>
      <c r="AA86" s="39"/>
      <c r="AB86" s="39"/>
      <c r="AC86" s="88"/>
      <c r="AD86" s="88"/>
      <c r="AE86" s="88"/>
      <c r="AF86" s="88"/>
      <c r="AG86" s="787"/>
      <c r="AH86" s="788"/>
      <c r="AK86" s="777"/>
      <c r="AN86" s="88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1:52" ht="12.75" customHeight="1">
      <c r="A87" s="1030">
        <v>86</v>
      </c>
      <c r="B87" s="1030"/>
      <c r="C87" s="1068" t="s">
        <v>540</v>
      </c>
      <c r="D87" s="112">
        <v>0.052</v>
      </c>
      <c r="E87" s="112">
        <v>0.052</v>
      </c>
      <c r="F87" s="1032">
        <v>1.01</v>
      </c>
      <c r="G87" s="1032">
        <v>1.11</v>
      </c>
      <c r="H87" s="1033">
        <v>0.49</v>
      </c>
      <c r="I87" s="1034">
        <v>200</v>
      </c>
      <c r="J87" s="1053"/>
      <c r="K87" s="1054"/>
      <c r="L87" s="1034"/>
      <c r="M87" s="1056"/>
      <c r="N87" s="94"/>
      <c r="O87" s="1185">
        <v>0</v>
      </c>
      <c r="P87"/>
      <c r="R87"/>
      <c r="S87"/>
      <c r="U87" s="88"/>
      <c r="V87" s="39"/>
      <c r="W87" s="39"/>
      <c r="X87" s="39"/>
      <c r="Y87" s="39"/>
      <c r="Z87" s="39"/>
      <c r="AA87" s="39"/>
      <c r="AB87" s="39"/>
      <c r="AC87" s="88"/>
      <c r="AD87" s="88"/>
      <c r="AE87" s="88"/>
      <c r="AF87" s="88"/>
      <c r="AG87" s="787"/>
      <c r="AH87" s="788"/>
      <c r="AK87" s="777"/>
      <c r="AN87" s="88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ht="12.75" customHeight="1">
      <c r="A88" s="1030">
        <v>87</v>
      </c>
      <c r="B88" s="1030"/>
      <c r="C88" s="1068" t="s">
        <v>541</v>
      </c>
      <c r="D88" s="1034">
        <v>0.047</v>
      </c>
      <c r="E88" s="1034">
        <v>0.048</v>
      </c>
      <c r="F88" s="1032">
        <v>0.42</v>
      </c>
      <c r="G88" s="1032">
        <v>0.48</v>
      </c>
      <c r="H88" s="1033">
        <v>0.6</v>
      </c>
      <c r="I88" s="1034">
        <v>110</v>
      </c>
      <c r="J88" s="1053">
        <v>2</v>
      </c>
      <c r="K88" s="1054"/>
      <c r="L88" s="1034"/>
      <c r="M88" s="1056"/>
      <c r="N88" s="94"/>
      <c r="O88" s="1185">
        <v>0</v>
      </c>
      <c r="P88"/>
      <c r="R88"/>
      <c r="S88"/>
      <c r="U88" s="88"/>
      <c r="V88" s="39"/>
      <c r="W88" s="39"/>
      <c r="X88" s="39"/>
      <c r="Y88" s="39"/>
      <c r="Z88" s="39"/>
      <c r="AA88" s="39"/>
      <c r="AB88" s="39"/>
      <c r="AC88" s="88"/>
      <c r="AD88" s="88"/>
      <c r="AE88" s="88"/>
      <c r="AF88" s="88"/>
      <c r="AG88" s="787"/>
      <c r="AH88" s="788"/>
      <c r="AK88" s="777"/>
      <c r="AN88" s="88"/>
      <c r="AO88" s="39"/>
      <c r="AP88" s="39"/>
      <c r="AQ88" s="39"/>
      <c r="AR88" s="41"/>
      <c r="AS88" s="41"/>
      <c r="AT88" s="41"/>
      <c r="AU88" s="41"/>
      <c r="AV88" s="41"/>
      <c r="AW88" s="39"/>
      <c r="AX88" s="39"/>
      <c r="AY88" s="39"/>
      <c r="AZ88" s="39"/>
    </row>
    <row r="89" spans="1:52" ht="12" customHeight="1">
      <c r="A89" s="1030">
        <v>88</v>
      </c>
      <c r="B89" s="1030"/>
      <c r="C89" s="110" t="s">
        <v>667</v>
      </c>
      <c r="D89" s="1034">
        <v>0.041</v>
      </c>
      <c r="E89" s="1034">
        <v>0.047</v>
      </c>
      <c r="F89" s="1032">
        <v>0.42</v>
      </c>
      <c r="G89" s="1032">
        <v>0.48</v>
      </c>
      <c r="H89" s="1033">
        <v>0.6</v>
      </c>
      <c r="I89" s="1034">
        <v>50</v>
      </c>
      <c r="J89" s="1053">
        <v>2</v>
      </c>
      <c r="K89" s="1054">
        <v>50</v>
      </c>
      <c r="L89" s="1034">
        <v>3</v>
      </c>
      <c r="M89" s="1056"/>
      <c r="N89" s="94"/>
      <c r="O89" s="1185">
        <v>0</v>
      </c>
      <c r="P89"/>
      <c r="R89"/>
      <c r="S89"/>
      <c r="U89" s="88"/>
      <c r="V89" s="39"/>
      <c r="W89" s="39"/>
      <c r="X89" s="39"/>
      <c r="Y89" s="39"/>
      <c r="Z89" s="39"/>
      <c r="AA89" s="39"/>
      <c r="AB89" s="39"/>
      <c r="AC89" s="88"/>
      <c r="AD89" s="88"/>
      <c r="AE89" s="88"/>
      <c r="AF89" s="88"/>
      <c r="AG89" s="787"/>
      <c r="AH89" s="788"/>
      <c r="AK89" s="777"/>
      <c r="AN89" s="88"/>
      <c r="AO89" s="39"/>
      <c r="AP89" s="39"/>
      <c r="AQ89" s="39"/>
      <c r="AR89" s="41"/>
      <c r="AS89" s="41"/>
      <c r="AT89" s="41"/>
      <c r="AU89" s="41"/>
      <c r="AV89" s="41"/>
      <c r="AW89" s="39"/>
      <c r="AX89" s="39"/>
      <c r="AY89" s="39"/>
      <c r="AZ89" s="39"/>
    </row>
    <row r="90" spans="1:52" ht="12.75" customHeight="1">
      <c r="A90" s="1030">
        <v>89</v>
      </c>
      <c r="B90" s="1030"/>
      <c r="C90" s="1068" t="s">
        <v>542</v>
      </c>
      <c r="D90" s="1034">
        <v>0.08</v>
      </c>
      <c r="E90" s="1034"/>
      <c r="F90" s="1034"/>
      <c r="G90" s="1034"/>
      <c r="H90" s="106"/>
      <c r="I90" s="1034"/>
      <c r="J90" s="1053"/>
      <c r="K90" s="1054"/>
      <c r="L90" s="1034"/>
      <c r="M90" s="1056"/>
      <c r="N90" s="94"/>
      <c r="O90" s="1185">
        <v>0</v>
      </c>
      <c r="P90"/>
      <c r="R90"/>
      <c r="S90"/>
      <c r="U90" s="88"/>
      <c r="V90" s="39"/>
      <c r="W90" s="39"/>
      <c r="X90" s="39"/>
      <c r="Y90" s="39"/>
      <c r="Z90" s="39"/>
      <c r="AA90" s="39"/>
      <c r="AB90" s="39"/>
      <c r="AC90" s="88"/>
      <c r="AD90" s="88"/>
      <c r="AE90" s="88"/>
      <c r="AF90" s="88"/>
      <c r="AG90" s="787"/>
      <c r="AH90" s="788"/>
      <c r="AK90" s="777"/>
      <c r="AN90" s="88"/>
      <c r="AO90" s="39"/>
      <c r="AP90" s="39"/>
      <c r="AQ90" s="39"/>
      <c r="AR90" s="41"/>
      <c r="AS90" s="41"/>
      <c r="AT90" s="41"/>
      <c r="AU90" s="41"/>
      <c r="AV90" s="41"/>
      <c r="AW90" s="39"/>
      <c r="AX90" s="39"/>
      <c r="AY90" s="39"/>
      <c r="AZ90" s="39"/>
    </row>
    <row r="91" spans="1:52" ht="12.75" customHeight="1">
      <c r="A91" s="1030">
        <v>90</v>
      </c>
      <c r="B91" s="1030"/>
      <c r="C91" s="110" t="s">
        <v>666</v>
      </c>
      <c r="D91" s="1034">
        <v>0.12</v>
      </c>
      <c r="E91" s="1034">
        <v>0.12</v>
      </c>
      <c r="F91" s="1032">
        <v>0.42</v>
      </c>
      <c r="G91" s="1032">
        <v>0.48</v>
      </c>
      <c r="H91" s="1033">
        <v>0.6</v>
      </c>
      <c r="I91" s="1034">
        <v>200</v>
      </c>
      <c r="J91" s="1053">
        <v>2</v>
      </c>
      <c r="K91" s="1054">
        <v>50</v>
      </c>
      <c r="L91" s="1034">
        <v>3</v>
      </c>
      <c r="M91" s="1056"/>
      <c r="N91" s="94"/>
      <c r="O91" s="1185">
        <v>0</v>
      </c>
      <c r="P91"/>
      <c r="R91"/>
      <c r="S91"/>
      <c r="U91" s="88"/>
      <c r="V91" s="39"/>
      <c r="W91" s="39"/>
      <c r="X91" s="39"/>
      <c r="Y91" s="39"/>
      <c r="Z91" s="39"/>
      <c r="AA91" s="39"/>
      <c r="AB91" s="39"/>
      <c r="AC91" s="88"/>
      <c r="AD91" s="88"/>
      <c r="AE91" s="88"/>
      <c r="AF91" s="88"/>
      <c r="AG91" s="787"/>
      <c r="AH91" s="788"/>
      <c r="AK91" s="777"/>
      <c r="AN91" s="88"/>
      <c r="AO91" s="39"/>
      <c r="AP91" s="39"/>
      <c r="AQ91" s="39"/>
      <c r="AR91" s="41"/>
      <c r="AS91" s="41"/>
      <c r="AT91" s="41"/>
      <c r="AU91" s="41"/>
      <c r="AV91" s="41"/>
      <c r="AW91" s="39"/>
      <c r="AX91" s="39"/>
      <c r="AY91" s="39"/>
      <c r="AZ91" s="39"/>
    </row>
    <row r="92" spans="1:52" ht="12" customHeight="1">
      <c r="A92" s="1030">
        <v>91</v>
      </c>
      <c r="B92" s="1030"/>
      <c r="C92" s="1068" t="s">
        <v>668</v>
      </c>
      <c r="D92" s="112">
        <v>0.76</v>
      </c>
      <c r="E92" s="112">
        <v>0.93</v>
      </c>
      <c r="F92" s="1032">
        <v>9.6</v>
      </c>
      <c r="G92" s="1032">
        <v>11.09</v>
      </c>
      <c r="H92" s="1033">
        <v>0.09</v>
      </c>
      <c r="I92" s="1034">
        <v>1800</v>
      </c>
      <c r="J92" s="1053">
        <v>373</v>
      </c>
      <c r="K92" s="1054">
        <v>15</v>
      </c>
      <c r="L92" s="1034"/>
      <c r="M92" s="1056">
        <v>0.4</v>
      </c>
      <c r="N92" s="94"/>
      <c r="O92" s="1185">
        <v>0</v>
      </c>
      <c r="P92"/>
      <c r="R92"/>
      <c r="S92"/>
      <c r="U92" s="88"/>
      <c r="V92" s="39"/>
      <c r="W92" s="39"/>
      <c r="X92" s="39"/>
      <c r="Y92" s="39"/>
      <c r="Z92" s="39"/>
      <c r="AA92" s="39"/>
      <c r="AB92" s="39"/>
      <c r="AC92" s="88"/>
      <c r="AD92" s="88"/>
      <c r="AE92" s="88"/>
      <c r="AF92" s="88"/>
      <c r="AG92" s="787"/>
      <c r="AH92" s="788"/>
      <c r="AK92" s="777"/>
      <c r="AN92" s="88"/>
      <c r="AO92" s="39"/>
      <c r="AP92" s="39"/>
      <c r="AQ92" s="39"/>
      <c r="AR92" s="41"/>
      <c r="AS92" s="41"/>
      <c r="AT92" s="41"/>
      <c r="AU92" s="41"/>
      <c r="AV92" s="41"/>
      <c r="AW92" s="39"/>
      <c r="AX92" s="39"/>
      <c r="AY92" s="39"/>
      <c r="AZ92" s="39"/>
    </row>
    <row r="93" spans="1:52" ht="12.75" customHeight="1">
      <c r="A93" s="1030">
        <v>92</v>
      </c>
      <c r="B93" s="1030"/>
      <c r="C93" s="1059" t="s">
        <v>669</v>
      </c>
      <c r="D93" s="1034">
        <v>0.043</v>
      </c>
      <c r="E93" s="106">
        <v>0.043</v>
      </c>
      <c r="F93" s="1032">
        <v>0.41</v>
      </c>
      <c r="G93" s="1032">
        <v>0.49</v>
      </c>
      <c r="H93" s="1033">
        <v>0.05</v>
      </c>
      <c r="I93" s="1034">
        <v>40</v>
      </c>
      <c r="J93" s="1053">
        <v>79</v>
      </c>
      <c r="K93" s="1054">
        <v>50</v>
      </c>
      <c r="L93" s="1034">
        <v>25</v>
      </c>
      <c r="M93" s="1056"/>
      <c r="N93" s="94"/>
      <c r="O93" s="1185">
        <v>0</v>
      </c>
      <c r="P93"/>
      <c r="R93"/>
      <c r="S93"/>
      <c r="U93" s="88"/>
      <c r="V93" s="39"/>
      <c r="W93" s="39"/>
      <c r="X93" s="39"/>
      <c r="Y93" s="39"/>
      <c r="Z93" s="39"/>
      <c r="AA93" s="39"/>
      <c r="AB93" s="39"/>
      <c r="AC93" s="88"/>
      <c r="AD93" s="88"/>
      <c r="AE93" s="88"/>
      <c r="AF93" s="88"/>
      <c r="AG93" s="787"/>
      <c r="AH93" s="788"/>
      <c r="AK93" s="777"/>
      <c r="AN93" s="88"/>
      <c r="AO93" s="39"/>
      <c r="AP93" s="39"/>
      <c r="AQ93" s="39"/>
      <c r="AR93" s="41"/>
      <c r="AS93" s="41"/>
      <c r="AT93" s="41"/>
      <c r="AU93" s="41"/>
      <c r="AV93" s="41"/>
      <c r="AW93" s="39"/>
      <c r="AX93" s="39"/>
      <c r="AY93" s="39"/>
      <c r="AZ93" s="39"/>
    </row>
    <row r="94" spans="1:52" ht="12" customHeight="1">
      <c r="A94" s="1030">
        <v>93</v>
      </c>
      <c r="B94" s="1030"/>
      <c r="C94" s="1059" t="s">
        <v>669</v>
      </c>
      <c r="D94" s="1034">
        <v>0.043</v>
      </c>
      <c r="E94" s="106">
        <v>0.043</v>
      </c>
      <c r="F94" s="1032">
        <v>0.41</v>
      </c>
      <c r="G94" s="1032">
        <v>0.49</v>
      </c>
      <c r="H94" s="1034">
        <v>0.05</v>
      </c>
      <c r="I94" s="1184">
        <v>40</v>
      </c>
      <c r="J94" s="1054">
        <v>79</v>
      </c>
      <c r="K94" s="1034">
        <v>50</v>
      </c>
      <c r="L94" s="1056">
        <v>25</v>
      </c>
      <c r="M94" s="1056"/>
      <c r="N94" s="94"/>
      <c r="O94" s="1185">
        <v>0</v>
      </c>
      <c r="P94"/>
      <c r="R94"/>
      <c r="S94"/>
      <c r="U94" s="88"/>
      <c r="V94" s="39"/>
      <c r="W94" s="39"/>
      <c r="X94" s="39"/>
      <c r="Y94" s="39"/>
      <c r="Z94" s="39"/>
      <c r="AA94" s="39"/>
      <c r="AB94" s="39"/>
      <c r="AC94" s="88"/>
      <c r="AD94" s="88"/>
      <c r="AE94" s="88"/>
      <c r="AF94" s="88"/>
      <c r="AG94" s="787"/>
      <c r="AH94" s="788"/>
      <c r="AK94" s="777"/>
      <c r="AN94" s="88"/>
      <c r="AO94" s="39"/>
      <c r="AP94" s="39"/>
      <c r="AQ94" s="39"/>
      <c r="AR94" s="41"/>
      <c r="AS94" s="41"/>
      <c r="AT94" s="41"/>
      <c r="AU94" s="41"/>
      <c r="AV94" s="41"/>
      <c r="AW94" s="39"/>
      <c r="AX94" s="39"/>
      <c r="AY94" s="39"/>
      <c r="AZ94" s="39"/>
    </row>
    <row r="95" spans="1:52" ht="12.75" customHeight="1">
      <c r="A95" s="1030">
        <v>94</v>
      </c>
      <c r="B95" s="1030"/>
      <c r="C95" s="1167" t="s">
        <v>742</v>
      </c>
      <c r="D95" s="1168"/>
      <c r="E95" s="1168"/>
      <c r="F95" s="1169"/>
      <c r="G95" s="1169"/>
      <c r="H95" s="1171"/>
      <c r="I95" s="1172"/>
      <c r="J95" s="1173"/>
      <c r="K95" s="1171"/>
      <c r="L95" s="1174"/>
      <c r="M95" s="1056"/>
      <c r="N95" s="94"/>
      <c r="O95" s="1185">
        <v>0</v>
      </c>
      <c r="P95"/>
      <c r="R95"/>
      <c r="S95"/>
      <c r="U95" s="88"/>
      <c r="V95" s="39"/>
      <c r="W95" s="39"/>
      <c r="X95" s="39"/>
      <c r="Y95" s="39"/>
      <c r="Z95" s="39"/>
      <c r="AA95" s="39"/>
      <c r="AB95" s="39"/>
      <c r="AC95" s="88"/>
      <c r="AD95" s="88"/>
      <c r="AE95" s="88"/>
      <c r="AF95" s="88"/>
      <c r="AG95" s="787"/>
      <c r="AH95" s="788"/>
      <c r="AK95" s="777"/>
      <c r="AN95" s="88"/>
      <c r="AO95" s="39"/>
      <c r="AP95" s="39"/>
      <c r="AQ95" s="39"/>
      <c r="AR95" s="41"/>
      <c r="AS95" s="41"/>
      <c r="AT95" s="41"/>
      <c r="AU95" s="41"/>
      <c r="AV95" s="41"/>
      <c r="AW95" s="39"/>
      <c r="AX95" s="39"/>
      <c r="AY95" s="39"/>
      <c r="AZ95" s="39"/>
    </row>
    <row r="96" spans="1:52" ht="12.75" customHeight="1">
      <c r="A96" s="1030">
        <v>95</v>
      </c>
      <c r="B96" s="1030"/>
      <c r="C96" s="1175" t="s">
        <v>743</v>
      </c>
      <c r="D96" s="1171">
        <v>0.25</v>
      </c>
      <c r="E96" s="1170">
        <v>0.27</v>
      </c>
      <c r="F96" s="1169">
        <v>2.54</v>
      </c>
      <c r="G96" s="1169">
        <v>2.59</v>
      </c>
      <c r="H96" s="1170">
        <v>0.14</v>
      </c>
      <c r="I96" s="1171">
        <v>800</v>
      </c>
      <c r="J96" s="1172">
        <v>196</v>
      </c>
      <c r="K96" s="1173">
        <v>100</v>
      </c>
      <c r="L96" s="1171">
        <v>6</v>
      </c>
      <c r="M96" s="1174">
        <v>0.7</v>
      </c>
      <c r="N96" s="94"/>
      <c r="O96" s="1186">
        <v>0</v>
      </c>
      <c r="P96"/>
      <c r="R96"/>
      <c r="S96"/>
      <c r="U96" s="88"/>
      <c r="V96" s="39"/>
      <c r="W96" s="39"/>
      <c r="X96" s="39"/>
      <c r="Y96" s="39"/>
      <c r="Z96" s="39"/>
      <c r="AA96" s="39"/>
      <c r="AB96" s="39"/>
      <c r="AC96" s="88"/>
      <c r="AD96" s="88"/>
      <c r="AE96" s="88"/>
      <c r="AF96" s="88"/>
      <c r="AG96" s="787"/>
      <c r="AH96" s="788"/>
      <c r="AK96" s="777"/>
      <c r="AN96" s="88"/>
      <c r="AO96" s="39"/>
      <c r="AP96" s="39"/>
      <c r="AQ96" s="39"/>
      <c r="AR96" s="41"/>
      <c r="AS96" s="41"/>
      <c r="AT96" s="41"/>
      <c r="AU96" s="41"/>
      <c r="AV96" s="41"/>
      <c r="AW96" s="39"/>
      <c r="AX96" s="39"/>
      <c r="AY96" s="39"/>
      <c r="AZ96" s="39"/>
    </row>
    <row r="97" spans="1:52" ht="12.75" customHeight="1">
      <c r="A97" s="1030">
        <v>96</v>
      </c>
      <c r="B97" s="1030"/>
      <c r="C97" s="1175" t="s">
        <v>744</v>
      </c>
      <c r="D97" s="1171">
        <v>0.17</v>
      </c>
      <c r="E97" s="1170">
        <v>0.19</v>
      </c>
      <c r="F97" s="1169">
        <v>1.58</v>
      </c>
      <c r="G97" s="1169">
        <v>1.62</v>
      </c>
      <c r="H97" s="1170">
        <v>0.17</v>
      </c>
      <c r="I97" s="1171">
        <v>600</v>
      </c>
      <c r="J97" s="1172">
        <v>196</v>
      </c>
      <c r="K97" s="1173">
        <v>100</v>
      </c>
      <c r="L97" s="1171">
        <v>6</v>
      </c>
      <c r="M97" s="1174">
        <v>0.7</v>
      </c>
      <c r="N97" s="94"/>
      <c r="O97" s="1186">
        <v>0</v>
      </c>
      <c r="P97"/>
      <c r="R97"/>
      <c r="S97"/>
      <c r="U97" s="88"/>
      <c r="V97" s="39"/>
      <c r="W97" s="39"/>
      <c r="X97" s="39"/>
      <c r="Y97" s="39"/>
      <c r="Z97" s="39"/>
      <c r="AA97" s="39"/>
      <c r="AB97" s="39"/>
      <c r="AC97" s="88"/>
      <c r="AD97" s="88"/>
      <c r="AE97" s="88"/>
      <c r="AF97" s="88"/>
      <c r="AG97" s="787"/>
      <c r="AH97" s="788"/>
      <c r="AK97" s="777"/>
      <c r="AN97" s="88"/>
      <c r="AO97" s="39"/>
      <c r="AP97" s="39"/>
      <c r="AQ97" s="39"/>
      <c r="AR97" s="41"/>
      <c r="AS97" s="41"/>
      <c r="AT97" s="41"/>
      <c r="AU97" s="41"/>
      <c r="AV97" s="41"/>
      <c r="AW97" s="39"/>
      <c r="AX97" s="39"/>
      <c r="AY97" s="39"/>
      <c r="AZ97" s="39"/>
    </row>
    <row r="98" spans="1:52" ht="12.75" customHeight="1">
      <c r="A98" s="1030">
        <v>97</v>
      </c>
      <c r="B98" s="1030"/>
      <c r="C98" s="1175" t="s">
        <v>745</v>
      </c>
      <c r="D98" s="1171">
        <v>0.13</v>
      </c>
      <c r="E98" s="1171">
        <v>0.15</v>
      </c>
      <c r="F98" s="1171">
        <v>1.04</v>
      </c>
      <c r="G98" s="1171">
        <v>1.07</v>
      </c>
      <c r="H98" s="1170">
        <v>0.23</v>
      </c>
      <c r="I98" s="1171">
        <v>400</v>
      </c>
      <c r="J98" s="1172">
        <v>196</v>
      </c>
      <c r="K98" s="1173">
        <v>100</v>
      </c>
      <c r="L98" s="1171">
        <v>6</v>
      </c>
      <c r="M98" s="1174">
        <v>0.7</v>
      </c>
      <c r="N98" s="94"/>
      <c r="O98" s="1186">
        <v>0</v>
      </c>
      <c r="P98"/>
      <c r="R98"/>
      <c r="S98"/>
      <c r="U98" s="88"/>
      <c r="V98" s="39"/>
      <c r="W98" s="39"/>
      <c r="X98" s="39"/>
      <c r="Y98" s="39"/>
      <c r="Z98" s="39"/>
      <c r="AA98" s="39"/>
      <c r="AB98" s="39"/>
      <c r="AC98" s="88"/>
      <c r="AD98" s="88"/>
      <c r="AE98" s="88"/>
      <c r="AF98" s="88"/>
      <c r="AG98" s="787"/>
      <c r="AH98" s="788"/>
      <c r="AK98" s="777"/>
      <c r="AN98" s="88"/>
      <c r="AO98" s="39"/>
      <c r="AP98" s="39"/>
      <c r="AQ98" s="39"/>
      <c r="AR98" s="41"/>
      <c r="AS98" s="41"/>
      <c r="AT98" s="41"/>
      <c r="AU98" s="41"/>
      <c r="AV98" s="41"/>
      <c r="AW98" s="39"/>
      <c r="AX98" s="39"/>
      <c r="AY98" s="39"/>
      <c r="AZ98" s="39"/>
    </row>
    <row r="99" spans="1:52" ht="12.75" customHeight="1">
      <c r="A99" s="1030">
        <v>98</v>
      </c>
      <c r="B99" s="1030"/>
      <c r="C99" s="1175" t="s">
        <v>746</v>
      </c>
      <c r="D99" s="1171">
        <v>0.12</v>
      </c>
      <c r="E99" s="1171">
        <v>0.14</v>
      </c>
      <c r="F99" s="1171">
        <v>0.76</v>
      </c>
      <c r="G99" s="1171">
        <v>0.78</v>
      </c>
      <c r="H99" s="1170">
        <v>0.26</v>
      </c>
      <c r="I99" s="1171">
        <v>300</v>
      </c>
      <c r="J99" s="1172">
        <v>196</v>
      </c>
      <c r="K99" s="1173">
        <v>100</v>
      </c>
      <c r="L99" s="1171">
        <v>6</v>
      </c>
      <c r="M99" s="1174">
        <v>0.7</v>
      </c>
      <c r="N99" s="94"/>
      <c r="O99" s="1186">
        <v>0</v>
      </c>
      <c r="P99"/>
      <c r="Q99" s="1"/>
      <c r="R99" s="1189" t="s">
        <v>753</v>
      </c>
      <c r="S99" s="1190"/>
      <c r="T99" s="1190"/>
      <c r="U99" s="1191"/>
      <c r="V99" s="1192"/>
      <c r="W99" s="39"/>
      <c r="X99" s="39"/>
      <c r="Y99" s="39"/>
      <c r="Z99" s="39"/>
      <c r="AA99" s="39"/>
      <c r="AB99" s="39"/>
      <c r="AC99" s="88"/>
      <c r="AD99" s="88"/>
      <c r="AE99" s="88"/>
      <c r="AF99" s="88"/>
      <c r="AG99" s="787"/>
      <c r="AH99" s="788"/>
      <c r="AK99" s="777"/>
      <c r="AN99" s="88"/>
      <c r="AO99" s="39"/>
      <c r="AP99" s="39"/>
      <c r="AQ99" s="39"/>
      <c r="AR99" s="41"/>
      <c r="AS99" s="41"/>
      <c r="AT99" s="41"/>
      <c r="AU99" s="41"/>
      <c r="AV99" s="41"/>
      <c r="AW99" s="39"/>
      <c r="AX99" s="39"/>
      <c r="AY99" s="39"/>
      <c r="AZ99" s="39"/>
    </row>
    <row r="100" spans="1:52" ht="12.75" customHeight="1">
      <c r="A100" s="1030">
        <v>99</v>
      </c>
      <c r="B100" s="1030"/>
      <c r="C100" s="1175"/>
      <c r="D100" s="1171"/>
      <c r="E100" s="1171"/>
      <c r="F100" s="1171"/>
      <c r="G100" s="1171"/>
      <c r="H100" s="1170"/>
      <c r="I100" s="1171"/>
      <c r="J100" s="1172"/>
      <c r="K100" s="1173"/>
      <c r="L100" s="1171"/>
      <c r="M100" s="1174"/>
      <c r="N100" s="94"/>
      <c r="O100" s="1186">
        <v>0</v>
      </c>
      <c r="P100"/>
      <c r="R100"/>
      <c r="S100"/>
      <c r="U100" s="88"/>
      <c r="V100" s="39"/>
      <c r="W100" s="39"/>
      <c r="X100" s="39"/>
      <c r="Y100" s="39"/>
      <c r="Z100" s="39"/>
      <c r="AA100" s="39"/>
      <c r="AB100" s="39"/>
      <c r="AC100" s="88"/>
      <c r="AD100" s="88"/>
      <c r="AE100" s="88"/>
      <c r="AF100" s="88"/>
      <c r="AG100" s="787"/>
      <c r="AH100" s="788"/>
      <c r="AK100" s="777"/>
      <c r="AN100" s="88"/>
      <c r="AO100" s="39"/>
      <c r="AP100" s="39"/>
      <c r="AQ100" s="39"/>
      <c r="AR100" s="41"/>
      <c r="AS100" s="41"/>
      <c r="AT100" s="41"/>
      <c r="AU100" s="41"/>
      <c r="AV100" s="41"/>
      <c r="AW100" s="39"/>
      <c r="AX100" s="39"/>
      <c r="AY100" s="39"/>
      <c r="AZ100" s="39"/>
    </row>
    <row r="101" spans="1:52" ht="12.75" customHeight="1">
      <c r="A101" s="1030">
        <v>100</v>
      </c>
      <c r="B101" s="1030"/>
      <c r="C101" s="1175" t="s">
        <v>747</v>
      </c>
      <c r="D101" s="1171">
        <v>0.25</v>
      </c>
      <c r="E101" s="1171">
        <v>0.27</v>
      </c>
      <c r="F101" s="1171">
        <v>2.56</v>
      </c>
      <c r="G101" s="1171">
        <v>2.61</v>
      </c>
      <c r="H101" s="1170">
        <v>0.14</v>
      </c>
      <c r="I101" s="1171">
        <v>815</v>
      </c>
      <c r="J101" s="1172">
        <v>196</v>
      </c>
      <c r="K101" s="1173">
        <v>100</v>
      </c>
      <c r="L101" s="1171">
        <v>6</v>
      </c>
      <c r="M101" s="1174">
        <v>0.7</v>
      </c>
      <c r="N101" s="94"/>
      <c r="O101" s="1186">
        <v>0</v>
      </c>
      <c r="P101"/>
      <c r="R101"/>
      <c r="S101"/>
      <c r="U101" s="88"/>
      <c r="V101" s="39"/>
      <c r="W101" s="39"/>
      <c r="X101" s="39"/>
      <c r="Y101" s="39"/>
      <c r="Z101" s="39"/>
      <c r="AA101" s="39"/>
      <c r="AB101" s="39"/>
      <c r="AC101" s="88"/>
      <c r="AD101" s="88"/>
      <c r="AE101" s="88"/>
      <c r="AF101" s="88"/>
      <c r="AG101" s="787"/>
      <c r="AH101" s="788"/>
      <c r="AK101" s="777"/>
      <c r="AN101" s="88"/>
      <c r="AO101" s="39"/>
      <c r="AP101" s="39"/>
      <c r="AQ101" s="39"/>
      <c r="AR101" s="41"/>
      <c r="AS101" s="41"/>
      <c r="AT101" s="41"/>
      <c r="AU101" s="41"/>
      <c r="AV101" s="41"/>
      <c r="AW101" s="39"/>
      <c r="AX101" s="39"/>
      <c r="AY101" s="39"/>
      <c r="AZ101" s="39"/>
    </row>
    <row r="102" spans="1:52" ht="12.75" customHeight="1">
      <c r="A102" s="1030">
        <v>101</v>
      </c>
      <c r="B102" s="1030"/>
      <c r="C102" s="1175" t="s">
        <v>748</v>
      </c>
      <c r="D102" s="1171">
        <v>0.2</v>
      </c>
      <c r="E102" s="1171">
        <v>0.23</v>
      </c>
      <c r="F102" s="1171">
        <v>1.73</v>
      </c>
      <c r="G102" s="1171">
        <v>1.8</v>
      </c>
      <c r="H102" s="1170">
        <v>0.17</v>
      </c>
      <c r="I102" s="1171">
        <v>630</v>
      </c>
      <c r="J102" s="1172">
        <v>196</v>
      </c>
      <c r="K102" s="1173">
        <v>100</v>
      </c>
      <c r="L102" s="1171">
        <v>6</v>
      </c>
      <c r="M102" s="1174">
        <v>0.7</v>
      </c>
      <c r="N102" s="94"/>
      <c r="O102" s="1186">
        <v>0</v>
      </c>
      <c r="P102"/>
      <c r="R102"/>
      <c r="S102"/>
      <c r="U102" s="88"/>
      <c r="V102" s="39"/>
      <c r="W102" s="39"/>
      <c r="X102" s="39"/>
      <c r="Y102" s="39"/>
      <c r="Z102" s="39"/>
      <c r="AA102" s="39"/>
      <c r="AB102" s="39"/>
      <c r="AC102" s="88"/>
      <c r="AD102" s="88"/>
      <c r="AE102" s="88"/>
      <c r="AF102" s="88"/>
      <c r="AG102" s="787"/>
      <c r="AH102" s="788"/>
      <c r="AK102" s="777"/>
      <c r="AN102" s="88"/>
      <c r="AO102" s="39"/>
      <c r="AP102" s="39"/>
      <c r="AQ102" s="39"/>
      <c r="AR102" s="41"/>
      <c r="AS102" s="41"/>
      <c r="AT102" s="41"/>
      <c r="AU102" s="41"/>
      <c r="AV102" s="41"/>
      <c r="AW102" s="39"/>
      <c r="AX102" s="39"/>
      <c r="AY102" s="39"/>
      <c r="AZ102" s="39"/>
    </row>
    <row r="103" spans="1:52" ht="12.75" customHeight="1">
      <c r="A103" s="1030">
        <v>102</v>
      </c>
      <c r="B103" s="1030"/>
      <c r="C103" s="1175" t="s">
        <v>749</v>
      </c>
      <c r="D103" s="1171">
        <v>0.17</v>
      </c>
      <c r="E103" s="1171">
        <v>0.19</v>
      </c>
      <c r="F103" s="1171">
        <v>1.22</v>
      </c>
      <c r="G103" s="1171">
        <v>1.25</v>
      </c>
      <c r="H103" s="1170">
        <v>0.2</v>
      </c>
      <c r="I103" s="1171">
        <v>450</v>
      </c>
      <c r="J103" s="1172">
        <v>196</v>
      </c>
      <c r="K103" s="1173">
        <v>100</v>
      </c>
      <c r="L103" s="1171">
        <v>6</v>
      </c>
      <c r="M103" s="1174">
        <v>0.7</v>
      </c>
      <c r="N103" s="94"/>
      <c r="O103" s="1186">
        <v>0</v>
      </c>
      <c r="P103"/>
      <c r="R103"/>
      <c r="S103"/>
      <c r="U103" s="88"/>
      <c r="V103" s="39"/>
      <c r="W103" s="39"/>
      <c r="X103" s="39"/>
      <c r="Y103" s="39"/>
      <c r="Z103" s="39"/>
      <c r="AA103" s="39"/>
      <c r="AB103" s="39"/>
      <c r="AC103" s="88"/>
      <c r="AD103" s="88"/>
      <c r="AE103" s="88"/>
      <c r="AF103" s="88"/>
      <c r="AG103" s="787"/>
      <c r="AH103" s="788"/>
      <c r="AK103" s="777"/>
      <c r="AN103" s="88"/>
      <c r="AO103" s="39"/>
      <c r="AP103" s="39"/>
      <c r="AQ103" s="39"/>
      <c r="AR103" s="41"/>
      <c r="AS103" s="41"/>
      <c r="AT103" s="41"/>
      <c r="AU103" s="41"/>
      <c r="AV103" s="41"/>
      <c r="AW103" s="39"/>
      <c r="AX103" s="39"/>
      <c r="AY103" s="39"/>
      <c r="AZ103" s="39"/>
    </row>
    <row r="104" spans="1:52" ht="12.75" customHeight="1" thickBot="1">
      <c r="A104" s="1030">
        <v>103</v>
      </c>
      <c r="B104" s="1030"/>
      <c r="C104" s="1175"/>
      <c r="D104" s="1171"/>
      <c r="E104" s="1171"/>
      <c r="F104" s="1171"/>
      <c r="G104" s="1171"/>
      <c r="H104" s="1170"/>
      <c r="I104" s="1171"/>
      <c r="J104" s="1176"/>
      <c r="K104" s="1177"/>
      <c r="L104" s="1171"/>
      <c r="M104" s="1178"/>
      <c r="N104" s="94"/>
      <c r="O104" s="1186">
        <v>0</v>
      </c>
      <c r="P104"/>
      <c r="R104"/>
      <c r="S104"/>
      <c r="U104" s="88"/>
      <c r="V104" s="39"/>
      <c r="W104" s="39"/>
      <c r="X104" s="39"/>
      <c r="Y104" s="39"/>
      <c r="Z104" s="39"/>
      <c r="AA104" s="39"/>
      <c r="AB104" s="39"/>
      <c r="AC104" s="88"/>
      <c r="AD104" s="88"/>
      <c r="AE104" s="88"/>
      <c r="AF104" s="88"/>
      <c r="AG104" s="787"/>
      <c r="AH104" s="788"/>
      <c r="AK104" s="777"/>
      <c r="AN104" s="88"/>
      <c r="AO104" s="39"/>
      <c r="AP104" s="39"/>
      <c r="AQ104" s="39"/>
      <c r="AR104" s="41"/>
      <c r="AS104" s="41"/>
      <c r="AT104" s="41"/>
      <c r="AU104" s="41"/>
      <c r="AV104" s="41"/>
      <c r="AW104" s="39"/>
      <c r="AX104" s="39"/>
      <c r="AY104" s="39"/>
      <c r="AZ104" s="39"/>
    </row>
    <row r="105" spans="1:52" ht="12.75" customHeight="1">
      <c r="A105" s="1030">
        <v>104</v>
      </c>
      <c r="B105" s="1030"/>
      <c r="C105" s="1175" t="s">
        <v>750</v>
      </c>
      <c r="D105" s="1166">
        <v>0.35</v>
      </c>
      <c r="E105" s="1166">
        <v>0.37</v>
      </c>
      <c r="F105" s="1166">
        <v>3.41</v>
      </c>
      <c r="G105" s="1166">
        <v>3.46</v>
      </c>
      <c r="H105" s="1179">
        <v>0.11</v>
      </c>
      <c r="I105" s="1166">
        <v>1060</v>
      </c>
      <c r="J105" s="1166">
        <v>196</v>
      </c>
      <c r="K105" s="1166">
        <v>100</v>
      </c>
      <c r="L105" s="1166">
        <v>6</v>
      </c>
      <c r="M105" s="1180">
        <v>0.7</v>
      </c>
      <c r="N105" s="94"/>
      <c r="O105" s="1187">
        <v>0</v>
      </c>
      <c r="P105"/>
      <c r="R105"/>
      <c r="S105"/>
      <c r="U105" s="88"/>
      <c r="V105" s="39"/>
      <c r="W105" s="39"/>
      <c r="X105" s="39"/>
      <c r="Y105" s="39"/>
      <c r="Z105" s="39"/>
      <c r="AA105" s="39"/>
      <c r="AB105" s="39"/>
      <c r="AC105" s="88"/>
      <c r="AD105" s="88"/>
      <c r="AE105" s="88"/>
      <c r="AF105" s="88"/>
      <c r="AG105" s="787"/>
      <c r="AH105" s="788"/>
      <c r="AK105" s="777"/>
      <c r="AN105" s="88"/>
      <c r="AO105" s="39"/>
      <c r="AP105" s="39"/>
      <c r="AQ105" s="39"/>
      <c r="AR105" s="41"/>
      <c r="AS105" s="41"/>
      <c r="AT105" s="41"/>
      <c r="AU105" s="41"/>
      <c r="AV105" s="41"/>
      <c r="AW105" s="39"/>
      <c r="AX105" s="39"/>
      <c r="AY105" s="39"/>
      <c r="AZ105" s="39"/>
    </row>
    <row r="106" spans="1:52" ht="12.75" customHeight="1">
      <c r="A106" s="1030">
        <v>105</v>
      </c>
      <c r="B106" s="1030"/>
      <c r="C106" s="1175" t="s">
        <v>751</v>
      </c>
      <c r="D106" s="1181">
        <v>0.26</v>
      </c>
      <c r="E106" s="1181">
        <v>0.24</v>
      </c>
      <c r="F106" s="1182">
        <v>2.69</v>
      </c>
      <c r="G106" s="1182">
        <v>2.63</v>
      </c>
      <c r="H106" s="1183">
        <v>0.14</v>
      </c>
      <c r="I106" s="1181">
        <v>880</v>
      </c>
      <c r="J106" s="1166">
        <v>196</v>
      </c>
      <c r="K106" s="1166">
        <v>100</v>
      </c>
      <c r="L106" s="1166">
        <v>6</v>
      </c>
      <c r="M106" s="1180">
        <v>0.7</v>
      </c>
      <c r="N106" s="94"/>
      <c r="O106" s="1187">
        <v>0</v>
      </c>
      <c r="P106"/>
      <c r="R106"/>
      <c r="S106"/>
      <c r="U106" s="88"/>
      <c r="V106" s="39"/>
      <c r="W106" s="39"/>
      <c r="X106" s="39"/>
      <c r="Y106" s="39"/>
      <c r="Z106" s="39"/>
      <c r="AA106" s="39"/>
      <c r="AB106" s="39"/>
      <c r="AC106" s="88"/>
      <c r="AD106" s="88"/>
      <c r="AE106" s="88"/>
      <c r="AF106" s="88"/>
      <c r="AG106" s="787"/>
      <c r="AH106" s="788"/>
      <c r="AK106" s="777"/>
      <c r="AN106" s="88"/>
      <c r="AO106" s="39"/>
      <c r="AP106" s="39"/>
      <c r="AQ106" s="39"/>
      <c r="AR106" s="41"/>
      <c r="AS106" s="41"/>
      <c r="AT106" s="41"/>
      <c r="AU106" s="41"/>
      <c r="AV106" s="41"/>
      <c r="AW106" s="39"/>
      <c r="AX106" s="39"/>
      <c r="AY106" s="39"/>
      <c r="AZ106" s="39"/>
    </row>
    <row r="107" spans="1:52" ht="12.75" customHeight="1">
      <c r="A107" s="1030">
        <v>106</v>
      </c>
      <c r="B107" s="1030"/>
      <c r="C107" s="1175" t="s">
        <v>752</v>
      </c>
      <c r="D107" s="1181">
        <v>0.23</v>
      </c>
      <c r="E107" s="1181">
        <v>0.25</v>
      </c>
      <c r="F107" s="1182">
        <v>1.95</v>
      </c>
      <c r="G107" s="1182">
        <v>2</v>
      </c>
      <c r="H107" s="1183">
        <v>0.17</v>
      </c>
      <c r="I107" s="1181">
        <v>700</v>
      </c>
      <c r="J107" s="1166">
        <v>196</v>
      </c>
      <c r="K107" s="1166">
        <v>100</v>
      </c>
      <c r="L107" s="1166">
        <v>6</v>
      </c>
      <c r="M107" s="1180">
        <v>0.7</v>
      </c>
      <c r="N107" s="1069"/>
      <c r="O107" s="1188">
        <v>0</v>
      </c>
      <c r="P107" s="87"/>
      <c r="Q107" s="87"/>
      <c r="R107" s="87"/>
      <c r="S107" s="87"/>
      <c r="T107" s="87"/>
      <c r="U107" s="88"/>
      <c r="V107" s="39"/>
      <c r="W107" s="39"/>
      <c r="X107" s="39"/>
      <c r="Y107" s="39"/>
      <c r="Z107" s="39"/>
      <c r="AA107" s="39"/>
      <c r="AB107" s="39"/>
      <c r="AC107" s="88"/>
      <c r="AD107" s="88"/>
      <c r="AE107" s="88"/>
      <c r="AF107" s="88"/>
      <c r="AG107" s="787"/>
      <c r="AH107" s="788"/>
      <c r="AK107" s="777"/>
      <c r="AN107" s="88"/>
      <c r="AO107" s="39"/>
      <c r="AP107" s="39"/>
      <c r="AQ107" s="39"/>
      <c r="AR107" s="41"/>
      <c r="AS107" s="41"/>
      <c r="AT107" s="41"/>
      <c r="AU107" s="41"/>
      <c r="AV107" s="41"/>
      <c r="AW107" s="39"/>
      <c r="AX107" s="39"/>
      <c r="AY107" s="39"/>
      <c r="AZ107" s="39"/>
    </row>
    <row r="108" spans="1:53" ht="12.75" customHeight="1">
      <c r="A108" s="1030"/>
      <c r="B108" s="1030"/>
      <c r="C108" s="164"/>
      <c r="D108" s="164"/>
      <c r="E108" s="164"/>
      <c r="F108" s="164"/>
      <c r="G108" s="164"/>
      <c r="H108" s="164"/>
      <c r="I108" s="1031"/>
      <c r="J108" s="164"/>
      <c r="K108" s="164"/>
      <c r="L108" s="164"/>
      <c r="M108" s="1031"/>
      <c r="N108" s="1069"/>
      <c r="O108" s="1069"/>
      <c r="P108" s="87"/>
      <c r="Q108" s="87"/>
      <c r="R108" s="87"/>
      <c r="S108" s="87"/>
      <c r="T108" s="87"/>
      <c r="U108" s="87"/>
      <c r="V108" s="88"/>
      <c r="W108" s="39"/>
      <c r="X108" s="39"/>
      <c r="Y108" s="39"/>
      <c r="Z108" s="39"/>
      <c r="AA108" s="39"/>
      <c r="AB108" s="39"/>
      <c r="AC108" s="39"/>
      <c r="AD108" s="88"/>
      <c r="AE108" s="88"/>
      <c r="AF108" s="88"/>
      <c r="AG108" s="88"/>
      <c r="AO108" s="88"/>
      <c r="AP108" s="39"/>
      <c r="AQ108" s="39"/>
      <c r="AR108" s="39"/>
      <c r="AS108" s="41"/>
      <c r="AT108" s="41"/>
      <c r="AU108" s="41"/>
      <c r="AV108" s="41"/>
      <c r="AW108" s="41"/>
      <c r="AX108" s="39"/>
      <c r="AY108" s="39"/>
      <c r="AZ108" s="39"/>
      <c r="BA108" s="39"/>
    </row>
    <row r="109" spans="1:53" ht="12.75" customHeight="1">
      <c r="A109" s="1030"/>
      <c r="B109" s="1030"/>
      <c r="C109" s="164"/>
      <c r="D109" s="164"/>
      <c r="E109" s="164"/>
      <c r="F109" s="164"/>
      <c r="G109" s="164"/>
      <c r="H109" s="164"/>
      <c r="I109" s="1031"/>
      <c r="J109" s="164"/>
      <c r="K109" s="164"/>
      <c r="L109" s="164"/>
      <c r="M109" s="1031"/>
      <c r="N109" s="1069"/>
      <c r="O109" s="1069"/>
      <c r="P109" s="87"/>
      <c r="Q109" s="87"/>
      <c r="R109" s="87"/>
      <c r="S109" s="87"/>
      <c r="T109" s="87"/>
      <c r="U109" s="87"/>
      <c r="V109" s="88"/>
      <c r="W109" s="39"/>
      <c r="X109" s="39"/>
      <c r="Y109" s="39"/>
      <c r="Z109" s="39"/>
      <c r="AA109" s="41"/>
      <c r="AB109" s="41"/>
      <c r="AC109" s="39"/>
      <c r="AD109" s="88"/>
      <c r="AE109" s="88"/>
      <c r="AF109" s="88"/>
      <c r="AG109" s="88"/>
      <c r="AO109" s="88"/>
      <c r="AP109" s="39"/>
      <c r="AQ109" s="39"/>
      <c r="AR109" s="39"/>
      <c r="AS109" s="41"/>
      <c r="AT109" s="41"/>
      <c r="AU109" s="41"/>
      <c r="AV109" s="41"/>
      <c r="AW109" s="41"/>
      <c r="AX109" s="39"/>
      <c r="AY109" s="39"/>
      <c r="AZ109" s="39"/>
      <c r="BA109" s="39"/>
    </row>
    <row r="110" spans="1:53" ht="12.75" customHeight="1">
      <c r="A110" s="498"/>
      <c r="B110" s="498"/>
      <c r="C110" s="109"/>
      <c r="D110" s="109"/>
      <c r="E110" s="109"/>
      <c r="F110" s="109"/>
      <c r="G110" s="109"/>
      <c r="H110" s="109"/>
      <c r="I110" s="113"/>
      <c r="J110" s="109"/>
      <c r="K110" s="109"/>
      <c r="L110" s="109"/>
      <c r="M110" s="113"/>
      <c r="N110" s="87"/>
      <c r="O110" s="87"/>
      <c r="P110" s="87"/>
      <c r="Q110" s="87"/>
      <c r="R110" s="87"/>
      <c r="S110" s="87"/>
      <c r="T110" s="87"/>
      <c r="U110" s="87"/>
      <c r="V110" s="489"/>
      <c r="W110" s="41"/>
      <c r="X110" s="41"/>
      <c r="Y110" s="41"/>
      <c r="Z110" s="3"/>
      <c r="AA110" s="3"/>
      <c r="AB110" s="126"/>
      <c r="AC110" s="3"/>
      <c r="AD110" s="489"/>
      <c r="AE110" s="489"/>
      <c r="AF110" s="489"/>
      <c r="AG110" s="771"/>
      <c r="AH110" s="789"/>
      <c r="AI110" s="790"/>
      <c r="AO110" s="88"/>
      <c r="AP110" s="39"/>
      <c r="AQ110" s="39"/>
      <c r="AR110" s="39"/>
      <c r="AS110" s="41"/>
      <c r="AT110" s="41"/>
      <c r="AU110" s="41"/>
      <c r="AV110" s="41"/>
      <c r="AW110" s="41"/>
      <c r="AX110" s="39"/>
      <c r="AY110" s="39"/>
      <c r="AZ110" s="39"/>
      <c r="BA110" s="39"/>
    </row>
    <row r="111" spans="1:52" ht="12.75" customHeight="1" thickBot="1">
      <c r="A111" s="498"/>
      <c r="B111" s="498"/>
      <c r="C111" s="109"/>
      <c r="D111" s="109"/>
      <c r="E111" s="109"/>
      <c r="F111" s="114" t="s">
        <v>543</v>
      </c>
      <c r="G111" s="115"/>
      <c r="H111" s="115"/>
      <c r="I111" s="115"/>
      <c r="J111" s="115"/>
      <c r="K111" s="114"/>
      <c r="L111" s="109"/>
      <c r="M111" s="125"/>
      <c r="N111" s="109"/>
      <c r="O111" s="114" t="s">
        <v>544</v>
      </c>
      <c r="P111" s="113"/>
      <c r="Q111" s="109"/>
      <c r="R111" s="113"/>
      <c r="S111" s="113"/>
      <c r="T111" s="109"/>
      <c r="U111" s="126"/>
      <c r="V111" s="41"/>
      <c r="W111" s="41"/>
      <c r="X111" s="3"/>
      <c r="Y111" s="3"/>
      <c r="Z111" s="41"/>
      <c r="AA111" s="3"/>
      <c r="AB111" s="3"/>
      <c r="AC111" s="41"/>
      <c r="AD111" s="41"/>
      <c r="AE111" s="489"/>
      <c r="AF111" s="771"/>
      <c r="AG111" s="789"/>
      <c r="AH111" s="790"/>
      <c r="AK111" s="777"/>
      <c r="AN111" s="88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</row>
    <row r="112" spans="1:52" ht="12.75" customHeight="1">
      <c r="A112" s="498"/>
      <c r="B112" s="498"/>
      <c r="C112" s="109"/>
      <c r="D112" s="116" t="s">
        <v>545</v>
      </c>
      <c r="E112" s="117"/>
      <c r="F112" s="118"/>
      <c r="G112" s="119" t="s">
        <v>672</v>
      </c>
      <c r="H112" s="1153"/>
      <c r="I112" s="867"/>
      <c r="J112" s="119" t="s">
        <v>673</v>
      </c>
      <c r="K112" s="117"/>
      <c r="L112" s="120"/>
      <c r="M112" s="128" t="s">
        <v>545</v>
      </c>
      <c r="N112" s="129"/>
      <c r="O112" s="130"/>
      <c r="P112" s="131" t="s">
        <v>672</v>
      </c>
      <c r="Q112" s="129"/>
      <c r="R112" s="132"/>
      <c r="S112" s="119" t="s">
        <v>673</v>
      </c>
      <c r="T112" s="129"/>
      <c r="U112" s="132"/>
      <c r="V112" s="488"/>
      <c r="W112" s="126"/>
      <c r="X112" s="126"/>
      <c r="Y112" s="3"/>
      <c r="Z112" s="3"/>
      <c r="AA112" s="3"/>
      <c r="AB112" s="3"/>
      <c r="AC112" s="126"/>
      <c r="AD112" s="488"/>
      <c r="AE112" s="126"/>
      <c r="AF112" s="772"/>
      <c r="AG112" s="789"/>
      <c r="AH112" s="790"/>
      <c r="AK112" s="777"/>
      <c r="AN112" s="88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</row>
    <row r="113" spans="1:52" ht="12.75" customHeight="1" thickBot="1">
      <c r="A113" s="498"/>
      <c r="B113" s="498"/>
      <c r="C113" s="121" t="s">
        <v>546</v>
      </c>
      <c r="D113" s="122" t="s">
        <v>547</v>
      </c>
      <c r="E113" s="123" t="s">
        <v>548</v>
      </c>
      <c r="F113" s="124" t="s">
        <v>549</v>
      </c>
      <c r="G113" s="122" t="s">
        <v>547</v>
      </c>
      <c r="H113" s="868" t="s">
        <v>548</v>
      </c>
      <c r="I113" s="124" t="s">
        <v>549</v>
      </c>
      <c r="J113" s="122" t="s">
        <v>547</v>
      </c>
      <c r="K113" s="123" t="s">
        <v>548</v>
      </c>
      <c r="L113" s="123" t="s">
        <v>550</v>
      </c>
      <c r="M113" s="133" t="s">
        <v>547</v>
      </c>
      <c r="N113" s="134" t="s">
        <v>548</v>
      </c>
      <c r="O113" s="135" t="s">
        <v>549</v>
      </c>
      <c r="P113" s="133" t="s">
        <v>547</v>
      </c>
      <c r="Q113" s="134" t="s">
        <v>548</v>
      </c>
      <c r="R113" s="135" t="s">
        <v>549</v>
      </c>
      <c r="S113" s="133" t="s">
        <v>547</v>
      </c>
      <c r="T113" s="134" t="s">
        <v>548</v>
      </c>
      <c r="U113" s="134" t="s">
        <v>550</v>
      </c>
      <c r="V113" s="126"/>
      <c r="W113" s="126"/>
      <c r="X113" s="126"/>
      <c r="Y113" s="617"/>
      <c r="Z113" s="617"/>
      <c r="AA113" s="126"/>
      <c r="AB113" s="126"/>
      <c r="AC113" s="126"/>
      <c r="AD113" s="126"/>
      <c r="AE113" s="126"/>
      <c r="AF113" s="490"/>
      <c r="AG113" s="789"/>
      <c r="AH113" s="790"/>
      <c r="AK113" s="777"/>
      <c r="AN113" s="88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</row>
    <row r="114" spans="1:52" ht="12.75" customHeight="1">
      <c r="A114" s="498">
        <v>1</v>
      </c>
      <c r="B114" s="498"/>
      <c r="C114" s="109">
        <v>1500</v>
      </c>
      <c r="D114" s="125">
        <v>1.1</v>
      </c>
      <c r="E114" s="126">
        <v>1.62</v>
      </c>
      <c r="F114" s="126">
        <v>1.44</v>
      </c>
      <c r="G114" s="485">
        <v>0.9</v>
      </c>
      <c r="H114" s="113">
        <v>1.42</v>
      </c>
      <c r="I114" s="109">
        <v>1.24</v>
      </c>
      <c r="J114" s="485">
        <v>0.72</v>
      </c>
      <c r="K114" s="109">
        <v>1.3</v>
      </c>
      <c r="L114" s="127">
        <v>1.12</v>
      </c>
      <c r="M114" s="136">
        <v>1.825</v>
      </c>
      <c r="N114" s="137">
        <v>2.95</v>
      </c>
      <c r="O114" s="137">
        <v>2.575</v>
      </c>
      <c r="P114" s="485">
        <v>1.65</v>
      </c>
      <c r="Q114" s="109">
        <v>2.2</v>
      </c>
      <c r="R114" s="486">
        <v>1.825</v>
      </c>
      <c r="S114" s="485">
        <v>1.3</v>
      </c>
      <c r="T114" s="109">
        <v>1.875</v>
      </c>
      <c r="U114" s="127">
        <v>1.3</v>
      </c>
      <c r="V114" s="137"/>
      <c r="W114" s="137"/>
      <c r="X114" s="126"/>
      <c r="Y114" s="3"/>
      <c r="Z114" s="3"/>
      <c r="AA114" s="3"/>
      <c r="AB114" s="3"/>
      <c r="AC114" s="126"/>
      <c r="AD114" s="489"/>
      <c r="AE114" s="126"/>
      <c r="AF114" s="489"/>
      <c r="AG114" s="789"/>
      <c r="AH114" s="790"/>
      <c r="AK114" s="777"/>
      <c r="AN114" s="88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</row>
    <row r="115" spans="1:52" ht="12.75" customHeight="1">
      <c r="A115" s="498">
        <v>2</v>
      </c>
      <c r="B115" s="498"/>
      <c r="C115" s="109">
        <v>1750</v>
      </c>
      <c r="D115" s="125">
        <v>1.15</v>
      </c>
      <c r="E115" s="126">
        <v>1.71</v>
      </c>
      <c r="F115" s="126">
        <v>1.52</v>
      </c>
      <c r="G115" s="485">
        <v>0.95</v>
      </c>
      <c r="H115" s="113">
        <v>1.51</v>
      </c>
      <c r="I115" s="109">
        <v>1.32</v>
      </c>
      <c r="J115" s="485">
        <v>0.76</v>
      </c>
      <c r="K115" s="109">
        <v>1.35</v>
      </c>
      <c r="L115" s="127">
        <v>1.16</v>
      </c>
      <c r="M115" s="136">
        <v>2.0125</v>
      </c>
      <c r="N115" s="137">
        <v>3.075</v>
      </c>
      <c r="O115" s="137">
        <v>2.6875</v>
      </c>
      <c r="P115" s="485">
        <v>1.725</v>
      </c>
      <c r="Q115" s="109">
        <v>2.3</v>
      </c>
      <c r="R115" s="486">
        <v>1.9125</v>
      </c>
      <c r="S115" s="485">
        <v>1.35</v>
      </c>
      <c r="T115" s="109">
        <v>1.9375</v>
      </c>
      <c r="U115" s="127">
        <v>1.35</v>
      </c>
      <c r="V115" s="136"/>
      <c r="W115" s="137"/>
      <c r="X115" s="126"/>
      <c r="Y115" s="3"/>
      <c r="Z115" s="3"/>
      <c r="AA115" s="3"/>
      <c r="AB115" s="3"/>
      <c r="AC115" s="126"/>
      <c r="AD115" s="489"/>
      <c r="AE115" s="126"/>
      <c r="AF115" s="489"/>
      <c r="AG115" s="789"/>
      <c r="AH115" s="790"/>
      <c r="AK115" s="777"/>
      <c r="AN115" s="88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</row>
    <row r="116" spans="1:52" ht="12.75" customHeight="1">
      <c r="A116" s="498">
        <v>3</v>
      </c>
      <c r="B116" s="498"/>
      <c r="C116" s="1121">
        <v>2000</v>
      </c>
      <c r="D116" s="1122">
        <v>1.2</v>
      </c>
      <c r="E116" s="1123">
        <v>1.8</v>
      </c>
      <c r="F116" s="1123">
        <v>1.6</v>
      </c>
      <c r="G116" s="1122">
        <v>1</v>
      </c>
      <c r="H116" s="1125">
        <v>1.6</v>
      </c>
      <c r="I116" s="1124">
        <v>1.4</v>
      </c>
      <c r="J116" s="1122">
        <v>0.8</v>
      </c>
      <c r="K116" s="1123">
        <v>1.4</v>
      </c>
      <c r="L116" s="1124">
        <v>1.2</v>
      </c>
      <c r="M116" s="1126">
        <v>2.1</v>
      </c>
      <c r="N116" s="1127">
        <v>3.2</v>
      </c>
      <c r="O116" s="1127">
        <v>2.8</v>
      </c>
      <c r="P116" s="1129">
        <v>1.8</v>
      </c>
      <c r="Q116" s="1125">
        <v>2.4</v>
      </c>
      <c r="R116" s="1130">
        <v>2</v>
      </c>
      <c r="S116" s="1129">
        <v>1.4</v>
      </c>
      <c r="T116" s="1125">
        <v>2</v>
      </c>
      <c r="U116" s="1139">
        <v>1.4</v>
      </c>
      <c r="V116" s="136"/>
      <c r="W116" s="137"/>
      <c r="X116" s="126"/>
      <c r="Y116" s="3"/>
      <c r="Z116" s="3"/>
      <c r="AA116" s="3"/>
      <c r="AB116" s="3"/>
      <c r="AC116" s="480"/>
      <c r="AD116" s="490"/>
      <c r="AE116" s="480"/>
      <c r="AF116" s="771"/>
      <c r="AG116" s="789"/>
      <c r="AH116" s="790"/>
      <c r="AK116" s="777"/>
      <c r="AN116" s="88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</row>
    <row r="117" spans="1:52" ht="12.75" customHeight="1">
      <c r="A117" s="498">
        <v>4</v>
      </c>
      <c r="B117" s="498"/>
      <c r="C117" s="109">
        <v>2250</v>
      </c>
      <c r="D117" s="476">
        <v>1.25</v>
      </c>
      <c r="E117" s="477">
        <v>1.89</v>
      </c>
      <c r="F117" s="478">
        <v>1.675</v>
      </c>
      <c r="G117" s="476">
        <v>1.05</v>
      </c>
      <c r="H117" s="480">
        <v>1.688</v>
      </c>
      <c r="I117" s="478">
        <v>1.475</v>
      </c>
      <c r="J117" s="476">
        <v>0.8375</v>
      </c>
      <c r="K117" s="477">
        <v>1.45</v>
      </c>
      <c r="L117" s="478">
        <v>1.2375</v>
      </c>
      <c r="M117" s="136">
        <v>2.1875</v>
      </c>
      <c r="N117" s="137">
        <v>3.325</v>
      </c>
      <c r="O117" s="483">
        <v>2.9125</v>
      </c>
      <c r="P117" s="479">
        <v>1.875</v>
      </c>
      <c r="Q117" s="480">
        <v>2.5</v>
      </c>
      <c r="R117" s="481">
        <v>2.0875</v>
      </c>
      <c r="S117" s="479">
        <v>1.45</v>
      </c>
      <c r="T117" s="137">
        <v>2.0625</v>
      </c>
      <c r="U117" s="482">
        <v>1.45</v>
      </c>
      <c r="V117" s="136"/>
      <c r="W117" s="137"/>
      <c r="X117" s="484"/>
      <c r="Y117" s="480"/>
      <c r="Z117" s="480"/>
      <c r="AA117" s="137"/>
      <c r="AB117" s="480"/>
      <c r="AC117" s="137"/>
      <c r="AD117" s="480"/>
      <c r="AE117" s="489"/>
      <c r="AF117" s="489"/>
      <c r="AG117" s="787"/>
      <c r="AH117" s="790"/>
      <c r="AK117" s="777"/>
      <c r="AN117" s="88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</row>
    <row r="118" spans="1:52" ht="12.75" customHeight="1">
      <c r="A118" s="498">
        <v>5</v>
      </c>
      <c r="B118" s="498"/>
      <c r="C118" s="109">
        <v>2500</v>
      </c>
      <c r="D118" s="476">
        <v>1.3</v>
      </c>
      <c r="E118" s="477">
        <v>1.975</v>
      </c>
      <c r="F118" s="478">
        <v>1.75</v>
      </c>
      <c r="G118" s="476">
        <v>1.1</v>
      </c>
      <c r="H118" s="480">
        <v>1.755</v>
      </c>
      <c r="I118" s="478">
        <v>1.55</v>
      </c>
      <c r="J118" s="476">
        <v>0.875</v>
      </c>
      <c r="K118" s="477">
        <v>1.5</v>
      </c>
      <c r="L118" s="478">
        <v>1.275</v>
      </c>
      <c r="M118" s="136">
        <v>2.275</v>
      </c>
      <c r="N118" s="137">
        <v>3.45</v>
      </c>
      <c r="O118" s="483">
        <v>3.025</v>
      </c>
      <c r="P118" s="479">
        <v>1.95</v>
      </c>
      <c r="Q118" s="480">
        <v>2.6</v>
      </c>
      <c r="R118" s="481">
        <v>2.175</v>
      </c>
      <c r="S118" s="479">
        <v>1.5</v>
      </c>
      <c r="T118" s="137">
        <v>2.125</v>
      </c>
      <c r="U118" s="482">
        <v>1.5</v>
      </c>
      <c r="V118" s="136"/>
      <c r="W118" s="137"/>
      <c r="X118" s="484"/>
      <c r="Y118" s="480"/>
      <c r="Z118" s="480"/>
      <c r="AA118" s="137"/>
      <c r="AB118" s="480"/>
      <c r="AC118" s="137"/>
      <c r="AD118" s="480"/>
      <c r="AE118" s="489"/>
      <c r="AF118" s="489"/>
      <c r="AG118" s="787"/>
      <c r="AH118" s="788"/>
      <c r="AK118" s="777"/>
      <c r="AN118" s="88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</row>
    <row r="119" spans="1:52" ht="12.75" customHeight="1">
      <c r="A119" s="498">
        <v>6</v>
      </c>
      <c r="B119" s="498"/>
      <c r="C119" s="109">
        <v>3750</v>
      </c>
      <c r="D119" s="476">
        <v>1.35</v>
      </c>
      <c r="E119" s="477">
        <v>2.06</v>
      </c>
      <c r="F119" s="478">
        <v>1.825</v>
      </c>
      <c r="G119" s="476">
        <v>1.15</v>
      </c>
      <c r="H119" s="480">
        <v>1.862</v>
      </c>
      <c r="I119" s="478">
        <v>1.625</v>
      </c>
      <c r="J119" s="476">
        <v>0.9125</v>
      </c>
      <c r="K119" s="477">
        <v>1.55</v>
      </c>
      <c r="L119" s="478">
        <v>1.3125</v>
      </c>
      <c r="M119" s="136">
        <v>2.3625</v>
      </c>
      <c r="N119" s="137">
        <v>3.575</v>
      </c>
      <c r="O119" s="483">
        <v>3.137</v>
      </c>
      <c r="P119" s="479">
        <v>2.025</v>
      </c>
      <c r="Q119" s="480">
        <v>2.7</v>
      </c>
      <c r="R119" s="481">
        <v>2.2625</v>
      </c>
      <c r="S119" s="479">
        <v>1.55</v>
      </c>
      <c r="T119" s="137">
        <v>2.1875</v>
      </c>
      <c r="U119" s="482">
        <v>1.55</v>
      </c>
      <c r="V119" s="136"/>
      <c r="W119" s="137"/>
      <c r="X119" s="484"/>
      <c r="Y119" s="480"/>
      <c r="Z119" s="480"/>
      <c r="AA119" s="137"/>
      <c r="AB119" s="480"/>
      <c r="AC119" s="137"/>
      <c r="AD119" s="480"/>
      <c r="AE119" s="489"/>
      <c r="AF119" s="489"/>
      <c r="AG119" s="787"/>
      <c r="AH119" s="788"/>
      <c r="AK119" s="777"/>
      <c r="AN119" s="88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</row>
    <row r="120" spans="1:52" ht="12.75" customHeight="1">
      <c r="A120" s="498">
        <v>7</v>
      </c>
      <c r="B120" s="498"/>
      <c r="C120" s="109">
        <v>3000</v>
      </c>
      <c r="D120" s="476">
        <v>1.4</v>
      </c>
      <c r="E120" s="477">
        <v>2.15</v>
      </c>
      <c r="F120" s="478">
        <v>1.9</v>
      </c>
      <c r="G120" s="476">
        <v>1.2</v>
      </c>
      <c r="H120" s="480">
        <v>1.95</v>
      </c>
      <c r="I120" s="478">
        <v>1.7</v>
      </c>
      <c r="J120" s="476">
        <v>0.95</v>
      </c>
      <c r="K120" s="477">
        <v>1.6</v>
      </c>
      <c r="L120" s="478">
        <v>1.35</v>
      </c>
      <c r="M120" s="136">
        <v>2.45</v>
      </c>
      <c r="N120" s="137">
        <v>3.7</v>
      </c>
      <c r="O120" s="483">
        <v>3.25</v>
      </c>
      <c r="P120" s="479">
        <v>2.1</v>
      </c>
      <c r="Q120" s="480">
        <v>2.8</v>
      </c>
      <c r="R120" s="481">
        <v>2.35</v>
      </c>
      <c r="S120" s="479">
        <v>1.6</v>
      </c>
      <c r="T120" s="137">
        <v>2.25</v>
      </c>
      <c r="U120" s="482">
        <v>1.6</v>
      </c>
      <c r="V120" s="136"/>
      <c r="W120" s="137"/>
      <c r="X120" s="484"/>
      <c r="Y120" s="480"/>
      <c r="Z120" s="480"/>
      <c r="AA120" s="137"/>
      <c r="AB120" s="480"/>
      <c r="AC120" s="137"/>
      <c r="AD120" s="480"/>
      <c r="AE120" s="489"/>
      <c r="AF120" s="88"/>
      <c r="AG120" s="787"/>
      <c r="AH120" s="788"/>
      <c r="AK120" s="777"/>
      <c r="AN120" s="88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</row>
    <row r="121" spans="1:52" ht="12.75" customHeight="1">
      <c r="A121" s="498">
        <v>8</v>
      </c>
      <c r="B121" s="498"/>
      <c r="C121" s="109">
        <v>3250</v>
      </c>
      <c r="D121" s="476">
        <v>1.45</v>
      </c>
      <c r="E121" s="477">
        <v>2.24</v>
      </c>
      <c r="F121" s="478">
        <v>1.975</v>
      </c>
      <c r="G121" s="476">
        <v>1.25</v>
      </c>
      <c r="H121" s="480">
        <v>2.04</v>
      </c>
      <c r="I121" s="478">
        <v>1.775</v>
      </c>
      <c r="J121" s="476">
        <v>0.9875</v>
      </c>
      <c r="K121" s="477">
        <v>1.65</v>
      </c>
      <c r="L121" s="478">
        <v>1.3875</v>
      </c>
      <c r="M121" s="136">
        <v>2.5375</v>
      </c>
      <c r="N121" s="137">
        <v>3.875</v>
      </c>
      <c r="O121" s="483">
        <v>3.3625</v>
      </c>
      <c r="P121" s="479">
        <v>2.175</v>
      </c>
      <c r="Q121" s="480">
        <v>2.9</v>
      </c>
      <c r="R121" s="481">
        <v>2.4375</v>
      </c>
      <c r="S121" s="479">
        <v>1.65</v>
      </c>
      <c r="T121" s="137">
        <v>2.3125</v>
      </c>
      <c r="U121" s="482">
        <v>1.65</v>
      </c>
      <c r="V121" s="136"/>
      <c r="W121" s="137"/>
      <c r="X121" s="484"/>
      <c r="Y121" s="480"/>
      <c r="Z121" s="480"/>
      <c r="AA121" s="137"/>
      <c r="AB121" s="480"/>
      <c r="AC121" s="137"/>
      <c r="AD121" s="480"/>
      <c r="AE121" s="489"/>
      <c r="AF121" s="88"/>
      <c r="AG121" s="787"/>
      <c r="AH121" s="788"/>
      <c r="AK121" s="777"/>
      <c r="AN121" s="88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</row>
    <row r="122" spans="1:52" ht="12.75" customHeight="1">
      <c r="A122" s="498">
        <v>9</v>
      </c>
      <c r="B122" s="498"/>
      <c r="C122" s="109">
        <v>3500</v>
      </c>
      <c r="D122" s="476">
        <v>1.5</v>
      </c>
      <c r="E122" s="477">
        <v>2.33</v>
      </c>
      <c r="F122" s="478">
        <v>2.05</v>
      </c>
      <c r="G122" s="476">
        <v>1.3</v>
      </c>
      <c r="H122" s="480">
        <v>2.125</v>
      </c>
      <c r="I122" s="478">
        <v>1.85</v>
      </c>
      <c r="J122" s="476">
        <v>1.025</v>
      </c>
      <c r="K122" s="477">
        <v>1.7</v>
      </c>
      <c r="L122" s="478">
        <v>1.425</v>
      </c>
      <c r="M122" s="136">
        <v>2.625</v>
      </c>
      <c r="N122" s="137">
        <v>3.95</v>
      </c>
      <c r="O122" s="483">
        <v>3.475</v>
      </c>
      <c r="P122" s="479">
        <v>2.25</v>
      </c>
      <c r="Q122" s="480">
        <v>3</v>
      </c>
      <c r="R122" s="481">
        <v>2.525</v>
      </c>
      <c r="S122" s="479">
        <v>1.7</v>
      </c>
      <c r="T122" s="137">
        <v>2.375</v>
      </c>
      <c r="U122" s="482">
        <v>1.7</v>
      </c>
      <c r="V122" s="136"/>
      <c r="W122" s="137"/>
      <c r="X122" s="484"/>
      <c r="Y122" s="480"/>
      <c r="Z122" s="480"/>
      <c r="AA122" s="137"/>
      <c r="AB122" s="480"/>
      <c r="AC122" s="137"/>
      <c r="AD122" s="480"/>
      <c r="AE122" s="489"/>
      <c r="AF122" s="88"/>
      <c r="AG122" s="787"/>
      <c r="AH122" s="788"/>
      <c r="AK122" s="777"/>
      <c r="AN122" s="88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</row>
    <row r="123" spans="1:52" ht="12.75" customHeight="1">
      <c r="A123" s="498">
        <v>10</v>
      </c>
      <c r="B123" s="498"/>
      <c r="C123" s="109">
        <v>3750</v>
      </c>
      <c r="D123" s="476">
        <v>1.55</v>
      </c>
      <c r="E123" s="477">
        <v>2.41</v>
      </c>
      <c r="F123" s="478">
        <v>2.125</v>
      </c>
      <c r="G123" s="476">
        <v>1.35</v>
      </c>
      <c r="H123" s="480">
        <v>2.212</v>
      </c>
      <c r="I123" s="478">
        <v>1.925</v>
      </c>
      <c r="J123" s="476">
        <v>1.0625</v>
      </c>
      <c r="K123" s="477">
        <v>1.75</v>
      </c>
      <c r="L123" s="478">
        <v>1.4625</v>
      </c>
      <c r="M123" s="136">
        <v>2.7125</v>
      </c>
      <c r="N123" s="137">
        <v>4.075</v>
      </c>
      <c r="O123" s="483">
        <v>3.5875</v>
      </c>
      <c r="P123" s="479">
        <v>2.325</v>
      </c>
      <c r="Q123" s="480">
        <v>3.1</v>
      </c>
      <c r="R123" s="481">
        <v>2.6125</v>
      </c>
      <c r="S123" s="479">
        <v>1.75</v>
      </c>
      <c r="T123" s="137">
        <v>2.4375</v>
      </c>
      <c r="U123" s="482">
        <v>1.75</v>
      </c>
      <c r="V123" s="136"/>
      <c r="W123" s="137"/>
      <c r="X123" s="484"/>
      <c r="Y123" s="480"/>
      <c r="Z123" s="480"/>
      <c r="AA123" s="137"/>
      <c r="AB123" s="480"/>
      <c r="AC123" s="137"/>
      <c r="AD123" s="480"/>
      <c r="AE123" s="489"/>
      <c r="AF123" s="88"/>
      <c r="AG123" s="787"/>
      <c r="AH123" s="788"/>
      <c r="AK123" s="777"/>
      <c r="AN123" s="88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</row>
    <row r="124" spans="1:52" ht="12.75" customHeight="1">
      <c r="A124" s="498">
        <v>11</v>
      </c>
      <c r="B124" s="498"/>
      <c r="C124" s="1121">
        <v>4000</v>
      </c>
      <c r="D124" s="1122">
        <v>1.6</v>
      </c>
      <c r="E124" s="1123">
        <v>2.5</v>
      </c>
      <c r="F124" s="1124">
        <v>2.2</v>
      </c>
      <c r="G124" s="1122">
        <v>1.4</v>
      </c>
      <c r="H124" s="1125">
        <v>2.3</v>
      </c>
      <c r="I124" s="1124">
        <v>2</v>
      </c>
      <c r="J124" s="1122">
        <v>1.1</v>
      </c>
      <c r="K124" s="1123">
        <v>1.8</v>
      </c>
      <c r="L124" s="1124">
        <v>1.5</v>
      </c>
      <c r="M124" s="1126">
        <v>2.8</v>
      </c>
      <c r="N124" s="1127">
        <v>4.2</v>
      </c>
      <c r="O124" s="1128">
        <v>3.7</v>
      </c>
      <c r="P124" s="1129">
        <v>2.4</v>
      </c>
      <c r="Q124" s="1125">
        <v>3.2</v>
      </c>
      <c r="R124" s="1130">
        <v>2.7</v>
      </c>
      <c r="S124" s="1129">
        <v>1.8</v>
      </c>
      <c r="T124" s="1127">
        <v>2.5</v>
      </c>
      <c r="U124" s="1139">
        <v>1.8</v>
      </c>
      <c r="V124" s="136"/>
      <c r="W124" s="137"/>
      <c r="X124" s="484"/>
      <c r="Y124" s="480"/>
      <c r="Z124" s="480"/>
      <c r="AA124" s="137"/>
      <c r="AB124" s="480"/>
      <c r="AC124" s="137"/>
      <c r="AD124" s="480"/>
      <c r="AE124" s="489"/>
      <c r="AF124" s="88"/>
      <c r="AG124" s="787"/>
      <c r="AH124" s="788"/>
      <c r="AK124" s="777"/>
      <c r="AN124" s="88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</row>
    <row r="125" spans="1:52" ht="12.75" customHeight="1">
      <c r="A125" s="498">
        <v>12</v>
      </c>
      <c r="B125" s="498"/>
      <c r="C125" s="109">
        <v>4250</v>
      </c>
      <c r="D125" s="476">
        <v>1.56</v>
      </c>
      <c r="E125" s="477">
        <v>2.59</v>
      </c>
      <c r="F125" s="478">
        <v>2.275</v>
      </c>
      <c r="G125" s="476">
        <v>1.45</v>
      </c>
      <c r="H125" s="480">
        <v>2.387</v>
      </c>
      <c r="I125" s="478">
        <v>2.075</v>
      </c>
      <c r="J125" s="476">
        <v>1.1375</v>
      </c>
      <c r="K125" s="477">
        <v>1.85</v>
      </c>
      <c r="L125" s="478">
        <v>1.5375</v>
      </c>
      <c r="M125" s="136">
        <v>2.8875</v>
      </c>
      <c r="N125" s="137">
        <v>4.325</v>
      </c>
      <c r="O125" s="483">
        <v>3.8125</v>
      </c>
      <c r="P125" s="479">
        <v>2.475</v>
      </c>
      <c r="Q125" s="480">
        <v>3.3</v>
      </c>
      <c r="R125" s="481">
        <v>2.7875</v>
      </c>
      <c r="S125" s="479">
        <v>1.85</v>
      </c>
      <c r="T125" s="137">
        <v>2.5625</v>
      </c>
      <c r="U125" s="482">
        <v>1.85</v>
      </c>
      <c r="V125" s="136"/>
      <c r="W125" s="137"/>
      <c r="X125" s="484"/>
      <c r="Y125" s="480"/>
      <c r="Z125" s="491"/>
      <c r="AA125" s="137"/>
      <c r="AB125" s="480"/>
      <c r="AC125" s="137"/>
      <c r="AD125" s="480"/>
      <c r="AE125" s="489"/>
      <c r="AF125" s="88"/>
      <c r="AG125" s="787"/>
      <c r="AH125" s="788"/>
      <c r="AK125" s="777"/>
      <c r="AN125" s="88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</row>
    <row r="126" spans="1:52" ht="12.75" customHeight="1">
      <c r="A126" s="498">
        <v>13</v>
      </c>
      <c r="B126" s="498"/>
      <c r="C126" s="109">
        <v>4500</v>
      </c>
      <c r="D126" s="476">
        <v>1.7</v>
      </c>
      <c r="E126" s="477">
        <v>2.67</v>
      </c>
      <c r="F126" s="478">
        <v>2.35</v>
      </c>
      <c r="G126" s="476">
        <v>1.5</v>
      </c>
      <c r="H126" s="480">
        <v>2.475</v>
      </c>
      <c r="I126" s="478">
        <v>2.15</v>
      </c>
      <c r="J126" s="476">
        <v>1.175</v>
      </c>
      <c r="K126" s="477">
        <v>1.9</v>
      </c>
      <c r="L126" s="478">
        <v>1.575</v>
      </c>
      <c r="M126" s="136">
        <v>2.975</v>
      </c>
      <c r="N126" s="137">
        <v>4.45</v>
      </c>
      <c r="O126" s="483">
        <v>3.925</v>
      </c>
      <c r="P126" s="479">
        <v>2.55</v>
      </c>
      <c r="Q126" s="480">
        <v>3.4</v>
      </c>
      <c r="R126" s="481">
        <v>2.875</v>
      </c>
      <c r="S126" s="479">
        <v>1.9</v>
      </c>
      <c r="T126" s="137">
        <v>2.625</v>
      </c>
      <c r="U126" s="482">
        <v>1.9</v>
      </c>
      <c r="V126" s="136"/>
      <c r="W126" s="137"/>
      <c r="X126" s="484"/>
      <c r="Y126" s="480"/>
      <c r="Z126" s="480"/>
      <c r="AA126" s="137"/>
      <c r="AB126" s="480"/>
      <c r="AC126" s="137"/>
      <c r="AD126" s="480"/>
      <c r="AE126" s="489"/>
      <c r="AF126" s="88"/>
      <c r="AG126" s="787"/>
      <c r="AH126" s="788"/>
      <c r="AK126" s="777"/>
      <c r="AN126" s="88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</row>
    <row r="127" spans="1:52" ht="12.75" customHeight="1">
      <c r="A127" s="498">
        <v>14</v>
      </c>
      <c r="B127" s="498"/>
      <c r="C127" s="109">
        <v>4750</v>
      </c>
      <c r="D127" s="476">
        <v>1.75</v>
      </c>
      <c r="E127" s="477">
        <v>2.75</v>
      </c>
      <c r="F127" s="478">
        <v>2.425</v>
      </c>
      <c r="G127" s="476">
        <v>1.55</v>
      </c>
      <c r="H127" s="480">
        <v>2.562</v>
      </c>
      <c r="I127" s="478">
        <v>2.225</v>
      </c>
      <c r="J127" s="476">
        <v>1.2125</v>
      </c>
      <c r="K127" s="477">
        <v>1.95</v>
      </c>
      <c r="L127" s="478">
        <v>1.6125</v>
      </c>
      <c r="M127" s="136">
        <v>3.0625</v>
      </c>
      <c r="N127" s="137">
        <v>4.575</v>
      </c>
      <c r="O127" s="483">
        <v>4.0375</v>
      </c>
      <c r="P127" s="479">
        <v>2.625</v>
      </c>
      <c r="Q127" s="480">
        <v>3.5</v>
      </c>
      <c r="R127" s="481">
        <v>2.9625</v>
      </c>
      <c r="S127" s="479">
        <v>1.95</v>
      </c>
      <c r="T127" s="137">
        <v>2.6875</v>
      </c>
      <c r="U127" s="482">
        <v>1.95</v>
      </c>
      <c r="V127" s="136"/>
      <c r="W127" s="137"/>
      <c r="X127" s="484"/>
      <c r="Y127" s="480"/>
      <c r="Z127" s="480"/>
      <c r="AA127" s="137"/>
      <c r="AB127" s="480"/>
      <c r="AC127" s="137"/>
      <c r="AD127" s="480"/>
      <c r="AE127" s="489"/>
      <c r="AF127" s="88"/>
      <c r="AG127" s="787"/>
      <c r="AH127" s="788"/>
      <c r="AK127" s="777"/>
      <c r="AN127" s="88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</row>
    <row r="128" spans="1:52" ht="12.75" customHeight="1">
      <c r="A128" s="498">
        <v>15</v>
      </c>
      <c r="B128" s="498"/>
      <c r="C128" s="109">
        <v>5000</v>
      </c>
      <c r="D128" s="476">
        <v>1.8</v>
      </c>
      <c r="E128" s="477">
        <v>2.85</v>
      </c>
      <c r="F128" s="478">
        <v>2.5</v>
      </c>
      <c r="G128" s="476">
        <v>1.6</v>
      </c>
      <c r="H128" s="480">
        <v>2.65</v>
      </c>
      <c r="I128" s="478">
        <v>2.3</v>
      </c>
      <c r="J128" s="476">
        <v>1.25</v>
      </c>
      <c r="K128" s="477">
        <v>2</v>
      </c>
      <c r="L128" s="478">
        <v>1.65</v>
      </c>
      <c r="M128" s="136">
        <v>3.15</v>
      </c>
      <c r="N128" s="137">
        <v>4.7</v>
      </c>
      <c r="O128" s="483">
        <v>4.15</v>
      </c>
      <c r="P128" s="479">
        <v>2.7</v>
      </c>
      <c r="Q128" s="480">
        <v>3.6</v>
      </c>
      <c r="R128" s="481">
        <v>3.05</v>
      </c>
      <c r="S128" s="479">
        <v>2</v>
      </c>
      <c r="T128" s="137">
        <v>2.75</v>
      </c>
      <c r="U128" s="482">
        <v>2</v>
      </c>
      <c r="V128" s="136"/>
      <c r="W128" s="137"/>
      <c r="X128" s="484"/>
      <c r="Y128" s="480"/>
      <c r="Z128" s="480"/>
      <c r="AA128" s="137"/>
      <c r="AB128" s="480"/>
      <c r="AC128" s="137"/>
      <c r="AD128" s="480"/>
      <c r="AE128" s="489"/>
      <c r="AF128" s="88"/>
      <c r="AG128" s="787"/>
      <c r="AH128" s="788"/>
      <c r="AK128" s="777"/>
      <c r="AN128" s="88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</row>
    <row r="129" spans="1:52" ht="12.75" customHeight="1">
      <c r="A129" s="498">
        <v>16</v>
      </c>
      <c r="B129" s="498"/>
      <c r="C129" s="109">
        <v>5250</v>
      </c>
      <c r="D129" s="476">
        <v>1.85</v>
      </c>
      <c r="E129" s="477">
        <v>2.93</v>
      </c>
      <c r="F129" s="478">
        <v>2.575</v>
      </c>
      <c r="G129" s="476">
        <v>1.65</v>
      </c>
      <c r="H129" s="480">
        <v>2.737</v>
      </c>
      <c r="I129" s="478">
        <v>2.375</v>
      </c>
      <c r="J129" s="476">
        <v>1.2875</v>
      </c>
      <c r="K129" s="477">
        <v>2.05</v>
      </c>
      <c r="L129" s="478">
        <v>1.6875</v>
      </c>
      <c r="M129" s="136">
        <v>3.2375</v>
      </c>
      <c r="N129" s="137">
        <v>4.825</v>
      </c>
      <c r="O129" s="483">
        <v>4.2625</v>
      </c>
      <c r="P129" s="479">
        <v>2.775</v>
      </c>
      <c r="Q129" s="480">
        <v>3.7</v>
      </c>
      <c r="R129" s="481">
        <v>3.1375</v>
      </c>
      <c r="S129" s="479">
        <v>2.05</v>
      </c>
      <c r="T129" s="137">
        <v>2.8125</v>
      </c>
      <c r="U129" s="482">
        <v>2.05</v>
      </c>
      <c r="V129" s="136"/>
      <c r="W129" s="137"/>
      <c r="X129" s="484"/>
      <c r="Y129" s="480"/>
      <c r="Z129" s="480"/>
      <c r="AA129" s="137"/>
      <c r="AB129" s="480"/>
      <c r="AC129" s="137"/>
      <c r="AD129" s="480"/>
      <c r="AE129" s="489"/>
      <c r="AF129" s="88"/>
      <c r="AG129" s="787"/>
      <c r="AH129" s="788"/>
      <c r="AK129" s="777"/>
      <c r="AN129" s="88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</row>
    <row r="130" spans="1:52" ht="12.75" customHeight="1">
      <c r="A130" s="498">
        <v>17</v>
      </c>
      <c r="B130" s="498"/>
      <c r="C130" s="109">
        <v>5500</v>
      </c>
      <c r="D130" s="476">
        <v>1.9</v>
      </c>
      <c r="E130" s="477">
        <v>3.03</v>
      </c>
      <c r="F130" s="478">
        <v>2.65</v>
      </c>
      <c r="G130" s="476">
        <v>1.7</v>
      </c>
      <c r="H130" s="480">
        <v>2.825</v>
      </c>
      <c r="I130" s="478">
        <v>2.45</v>
      </c>
      <c r="J130" s="476">
        <v>1.325</v>
      </c>
      <c r="K130" s="477">
        <v>2.1</v>
      </c>
      <c r="L130" s="478">
        <v>1.725</v>
      </c>
      <c r="M130" s="136">
        <v>3.325</v>
      </c>
      <c r="N130" s="137">
        <v>4.95</v>
      </c>
      <c r="O130" s="483">
        <v>4.375</v>
      </c>
      <c r="P130" s="479">
        <v>2.85</v>
      </c>
      <c r="Q130" s="480">
        <v>3.8</v>
      </c>
      <c r="R130" s="481">
        <v>3.225</v>
      </c>
      <c r="S130" s="479">
        <v>2.1</v>
      </c>
      <c r="T130" s="137">
        <v>2.875</v>
      </c>
      <c r="U130" s="482">
        <v>2.1</v>
      </c>
      <c r="V130" s="136"/>
      <c r="W130" s="137"/>
      <c r="X130" s="484"/>
      <c r="Y130" s="480"/>
      <c r="Z130" s="480"/>
      <c r="AA130" s="137"/>
      <c r="AB130" s="480"/>
      <c r="AC130" s="137"/>
      <c r="AD130" s="480"/>
      <c r="AE130" s="489"/>
      <c r="AF130" s="88"/>
      <c r="AG130" s="787"/>
      <c r="AH130" s="788"/>
      <c r="AK130" s="777"/>
      <c r="AN130" s="88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</row>
    <row r="131" spans="1:52" ht="12.75" customHeight="1">
      <c r="A131" s="498">
        <v>18</v>
      </c>
      <c r="B131" s="498"/>
      <c r="C131" s="109">
        <v>5750</v>
      </c>
      <c r="D131" s="476">
        <v>1.95</v>
      </c>
      <c r="E131" s="477">
        <v>3.12</v>
      </c>
      <c r="F131" s="478">
        <v>2.725</v>
      </c>
      <c r="G131" s="476">
        <v>1.75</v>
      </c>
      <c r="H131" s="480">
        <v>2.912</v>
      </c>
      <c r="I131" s="478">
        <v>2.525</v>
      </c>
      <c r="J131" s="476">
        <v>1.3625</v>
      </c>
      <c r="K131" s="477">
        <v>2.15</v>
      </c>
      <c r="L131" s="478">
        <v>1.7625</v>
      </c>
      <c r="M131" s="136">
        <v>3.4125</v>
      </c>
      <c r="N131" s="137">
        <v>5.075</v>
      </c>
      <c r="O131" s="483">
        <v>4.4875</v>
      </c>
      <c r="P131" s="479">
        <v>2.925</v>
      </c>
      <c r="Q131" s="480">
        <v>3.9</v>
      </c>
      <c r="R131" s="481">
        <v>3.3125</v>
      </c>
      <c r="S131" s="479">
        <v>2.15</v>
      </c>
      <c r="T131" s="137">
        <v>2.9375</v>
      </c>
      <c r="U131" s="482">
        <v>2.15</v>
      </c>
      <c r="V131" s="136"/>
      <c r="W131" s="137"/>
      <c r="X131" s="484"/>
      <c r="Y131" s="480"/>
      <c r="Z131" s="480"/>
      <c r="AA131" s="137"/>
      <c r="AB131" s="480"/>
      <c r="AC131" s="137"/>
      <c r="AD131" s="480"/>
      <c r="AE131" s="489"/>
      <c r="AF131" s="88"/>
      <c r="AG131" s="787"/>
      <c r="AH131" s="788"/>
      <c r="AK131" s="777"/>
      <c r="AN131" s="88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</row>
    <row r="132" spans="1:52" ht="12.75" customHeight="1">
      <c r="A132" s="498">
        <v>19</v>
      </c>
      <c r="B132" s="498"/>
      <c r="C132" s="1121">
        <v>6000</v>
      </c>
      <c r="D132" s="1122">
        <v>2</v>
      </c>
      <c r="E132" s="1123">
        <v>3.2</v>
      </c>
      <c r="F132" s="1124">
        <v>2.8</v>
      </c>
      <c r="G132" s="1122">
        <v>1.8</v>
      </c>
      <c r="H132" s="1125">
        <v>3</v>
      </c>
      <c r="I132" s="1124">
        <v>2.6</v>
      </c>
      <c r="J132" s="1122">
        <v>1.4</v>
      </c>
      <c r="K132" s="1123">
        <v>2.2</v>
      </c>
      <c r="L132" s="1138">
        <v>1.8</v>
      </c>
      <c r="M132" s="1126">
        <v>3.5</v>
      </c>
      <c r="N132" s="1127">
        <v>5.2</v>
      </c>
      <c r="O132" s="1128">
        <v>4.6</v>
      </c>
      <c r="P132" s="1129">
        <v>3</v>
      </c>
      <c r="Q132" s="1125">
        <v>4</v>
      </c>
      <c r="R132" s="1130">
        <v>3.4</v>
      </c>
      <c r="S132" s="1129">
        <v>2.2</v>
      </c>
      <c r="T132" s="1127">
        <v>3</v>
      </c>
      <c r="U132" s="1139">
        <v>2.2</v>
      </c>
      <c r="V132" s="136"/>
      <c r="W132" s="137"/>
      <c r="X132" s="484"/>
      <c r="Y132" s="480"/>
      <c r="Z132" s="480"/>
      <c r="AA132" s="137"/>
      <c r="AB132" s="480"/>
      <c r="AC132" s="137"/>
      <c r="AD132" s="480"/>
      <c r="AE132" s="489"/>
      <c r="AF132" s="88"/>
      <c r="AG132" s="787"/>
      <c r="AH132" s="788"/>
      <c r="AK132" s="777"/>
      <c r="AN132" s="88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</row>
    <row r="133" spans="1:52" ht="12.75" customHeight="1">
      <c r="A133" s="498">
        <v>20</v>
      </c>
      <c r="B133" s="498"/>
      <c r="C133" s="109">
        <v>6250</v>
      </c>
      <c r="D133" s="476">
        <v>2.05</v>
      </c>
      <c r="E133" s="477">
        <v>3.29</v>
      </c>
      <c r="F133" s="478">
        <v>2.875</v>
      </c>
      <c r="G133" s="476">
        <v>1.85</v>
      </c>
      <c r="H133" s="480">
        <v>3.087</v>
      </c>
      <c r="I133" s="478">
        <v>2.675</v>
      </c>
      <c r="J133" s="476">
        <v>1.4375</v>
      </c>
      <c r="K133" s="477">
        <v>2.25</v>
      </c>
      <c r="L133" s="478">
        <v>1.8375</v>
      </c>
      <c r="M133" s="136">
        <v>3.5875</v>
      </c>
      <c r="N133" s="137">
        <v>5.325</v>
      </c>
      <c r="O133" s="483">
        <v>4.7125</v>
      </c>
      <c r="P133" s="479">
        <v>3.075</v>
      </c>
      <c r="Q133" s="480">
        <v>4.1</v>
      </c>
      <c r="R133" s="481">
        <v>3.4875</v>
      </c>
      <c r="S133" s="479">
        <v>2.25</v>
      </c>
      <c r="T133" s="137">
        <v>3.0625</v>
      </c>
      <c r="U133" s="482">
        <v>2.25</v>
      </c>
      <c r="V133" s="136"/>
      <c r="W133" s="137"/>
      <c r="X133" s="484"/>
      <c r="Y133" s="480"/>
      <c r="Z133" s="480"/>
      <c r="AA133" s="137"/>
      <c r="AB133" s="480"/>
      <c r="AC133" s="137"/>
      <c r="AD133" s="480"/>
      <c r="AE133" s="489"/>
      <c r="AF133" s="88"/>
      <c r="AG133" s="787"/>
      <c r="AH133" s="788"/>
      <c r="AK133" s="777"/>
      <c r="AN133" s="88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</row>
    <row r="134" spans="1:52" ht="12.75" customHeight="1">
      <c r="A134" s="498">
        <v>21</v>
      </c>
      <c r="B134" s="498"/>
      <c r="C134" s="109">
        <v>6500</v>
      </c>
      <c r="D134" s="476">
        <v>2.1</v>
      </c>
      <c r="E134" s="477">
        <v>3.37</v>
      </c>
      <c r="F134" s="478">
        <v>2.95</v>
      </c>
      <c r="G134" s="476">
        <v>1.9</v>
      </c>
      <c r="H134" s="480">
        <v>3.175</v>
      </c>
      <c r="I134" s="478">
        <v>2.75</v>
      </c>
      <c r="J134" s="476">
        <v>1.475</v>
      </c>
      <c r="K134" s="477">
        <v>2.3</v>
      </c>
      <c r="L134" s="478">
        <v>1.875</v>
      </c>
      <c r="M134" s="136">
        <v>3.675</v>
      </c>
      <c r="N134" s="137">
        <v>5.45</v>
      </c>
      <c r="O134" s="483">
        <v>4.825</v>
      </c>
      <c r="P134" s="479">
        <v>3.15</v>
      </c>
      <c r="Q134" s="480">
        <v>4.2</v>
      </c>
      <c r="R134" s="481">
        <v>3.575</v>
      </c>
      <c r="S134" s="479">
        <v>2.3</v>
      </c>
      <c r="T134" s="137">
        <v>3.125</v>
      </c>
      <c r="U134" s="482">
        <v>2.3</v>
      </c>
      <c r="V134" s="136"/>
      <c r="W134" s="137"/>
      <c r="X134" s="484"/>
      <c r="Y134" s="480"/>
      <c r="Z134" s="480"/>
      <c r="AA134" s="137"/>
      <c r="AB134" s="480"/>
      <c r="AC134" s="137"/>
      <c r="AD134" s="480"/>
      <c r="AE134" s="489"/>
      <c r="AF134" s="88"/>
      <c r="AG134" s="787"/>
      <c r="AH134" s="788"/>
      <c r="AK134" s="777"/>
      <c r="AN134" s="88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</row>
    <row r="135" spans="1:41" ht="12.75" customHeight="1">
      <c r="A135" s="109">
        <v>22</v>
      </c>
      <c r="B135" s="109"/>
      <c r="C135" s="109">
        <v>6750</v>
      </c>
      <c r="D135" s="476">
        <v>2.15</v>
      </c>
      <c r="E135" s="477">
        <v>3.45</v>
      </c>
      <c r="F135" s="478">
        <v>3.025</v>
      </c>
      <c r="G135" s="476">
        <v>1.95</v>
      </c>
      <c r="H135" s="480">
        <v>3.262</v>
      </c>
      <c r="I135" s="478">
        <v>2.825</v>
      </c>
      <c r="J135" s="476">
        <v>1.5125</v>
      </c>
      <c r="K135" s="477">
        <v>2.35</v>
      </c>
      <c r="L135" s="478">
        <v>1.9125</v>
      </c>
      <c r="M135" s="136">
        <v>3.7625</v>
      </c>
      <c r="N135" s="137">
        <v>5.575</v>
      </c>
      <c r="O135" s="483">
        <v>4.9375</v>
      </c>
      <c r="P135" s="479">
        <v>3.225</v>
      </c>
      <c r="Q135" s="480">
        <v>4.3</v>
      </c>
      <c r="R135" s="481">
        <v>3.6625</v>
      </c>
      <c r="S135" s="479">
        <v>2.35</v>
      </c>
      <c r="T135" s="137">
        <v>3.1875</v>
      </c>
      <c r="U135" s="482">
        <v>2.35</v>
      </c>
      <c r="V135" s="136"/>
      <c r="W135" s="137"/>
      <c r="X135" s="484"/>
      <c r="Y135" s="480"/>
      <c r="Z135" s="480"/>
      <c r="AA135" s="137"/>
      <c r="AB135" s="480"/>
      <c r="AC135" s="137"/>
      <c r="AD135" s="480"/>
      <c r="AE135" s="490"/>
      <c r="AF135" s="138"/>
      <c r="AG135" s="787"/>
      <c r="AH135" s="788"/>
      <c r="AK135" s="777"/>
      <c r="AN135" s="2"/>
      <c r="AO135"/>
    </row>
    <row r="136" spans="1:41" ht="12.75" customHeight="1">
      <c r="A136" s="109">
        <v>23</v>
      </c>
      <c r="B136" s="109"/>
      <c r="C136" s="109">
        <v>7000</v>
      </c>
      <c r="D136" s="476">
        <v>2.2</v>
      </c>
      <c r="E136" s="477">
        <v>3.55</v>
      </c>
      <c r="F136" s="478">
        <v>3.1</v>
      </c>
      <c r="G136" s="476">
        <v>2</v>
      </c>
      <c r="H136" s="480">
        <v>3.35</v>
      </c>
      <c r="I136" s="478">
        <v>2.9</v>
      </c>
      <c r="J136" s="476">
        <v>1.55</v>
      </c>
      <c r="K136" s="477">
        <v>2.4</v>
      </c>
      <c r="L136" s="478">
        <v>1.95</v>
      </c>
      <c r="M136" s="136">
        <v>3.85</v>
      </c>
      <c r="N136" s="137">
        <v>5.7</v>
      </c>
      <c r="O136" s="483">
        <v>5.05</v>
      </c>
      <c r="P136" s="479">
        <v>3.3</v>
      </c>
      <c r="Q136" s="480">
        <v>4.4</v>
      </c>
      <c r="R136" s="481">
        <v>3.75</v>
      </c>
      <c r="S136" s="479">
        <v>2.4</v>
      </c>
      <c r="T136" s="137">
        <v>3.25</v>
      </c>
      <c r="U136" s="482">
        <v>2.4</v>
      </c>
      <c r="V136" s="136"/>
      <c r="W136" s="137"/>
      <c r="X136" s="484"/>
      <c r="Y136" s="480"/>
      <c r="Z136" s="480"/>
      <c r="AA136" s="137"/>
      <c r="AB136" s="480"/>
      <c r="AC136" s="137"/>
      <c r="AD136" s="480"/>
      <c r="AE136" s="490"/>
      <c r="AF136" s="138"/>
      <c r="AG136" s="787"/>
      <c r="AH136" s="788"/>
      <c r="AK136" s="777"/>
      <c r="AN136" s="2"/>
      <c r="AO136"/>
    </row>
    <row r="137" spans="1:40" s="109" customFormat="1" ht="12.75" customHeight="1">
      <c r="A137" s="109">
        <v>24</v>
      </c>
      <c r="C137" s="109">
        <v>7250</v>
      </c>
      <c r="D137" s="476">
        <v>2.25</v>
      </c>
      <c r="E137" s="477">
        <v>3.64</v>
      </c>
      <c r="F137" s="1142">
        <v>3.175</v>
      </c>
      <c r="G137" s="476">
        <v>2.05</v>
      </c>
      <c r="H137" s="480">
        <v>3.4375</v>
      </c>
      <c r="I137" s="478">
        <v>2.975</v>
      </c>
      <c r="J137" s="477">
        <v>1.5875</v>
      </c>
      <c r="K137" s="477">
        <v>2.45</v>
      </c>
      <c r="L137" s="478">
        <v>1.9875</v>
      </c>
      <c r="M137" s="137">
        <v>3.975</v>
      </c>
      <c r="N137" s="137">
        <v>5.825</v>
      </c>
      <c r="O137" s="481">
        <v>5.1625</v>
      </c>
      <c r="P137" s="480">
        <v>3</v>
      </c>
      <c r="Q137" s="480">
        <v>4.5</v>
      </c>
      <c r="R137" s="481">
        <v>3.8375</v>
      </c>
      <c r="S137" s="480">
        <v>2.45</v>
      </c>
      <c r="T137" s="137">
        <v>3.3125</v>
      </c>
      <c r="U137" s="480">
        <v>2.45</v>
      </c>
      <c r="V137" s="136"/>
      <c r="W137" s="137"/>
      <c r="X137" s="484"/>
      <c r="Y137" s="480"/>
      <c r="Z137" s="480"/>
      <c r="AA137" s="137"/>
      <c r="AB137" s="480"/>
      <c r="AC137" s="137"/>
      <c r="AD137" s="480"/>
      <c r="AE137" s="490"/>
      <c r="AF137" s="138"/>
      <c r="AG137" s="972"/>
      <c r="AH137" s="1140"/>
      <c r="AI137" s="1140"/>
      <c r="AJ137" s="1140"/>
      <c r="AK137" s="138"/>
      <c r="AL137" s="138"/>
      <c r="AM137" s="138"/>
      <c r="AN137" s="138"/>
    </row>
    <row r="138" spans="1:40" s="109" customFormat="1" ht="12.75" customHeight="1">
      <c r="A138" s="109">
        <v>25</v>
      </c>
      <c r="C138" s="109">
        <v>7500</v>
      </c>
      <c r="D138" s="476">
        <v>2.3</v>
      </c>
      <c r="E138" s="109">
        <v>3.73</v>
      </c>
      <c r="F138" s="1141">
        <v>3.25</v>
      </c>
      <c r="G138" s="476">
        <v>2.1</v>
      </c>
      <c r="H138" s="113">
        <v>3.525</v>
      </c>
      <c r="I138" s="478">
        <v>3.05</v>
      </c>
      <c r="J138" s="477">
        <v>1.6625</v>
      </c>
      <c r="K138" s="109">
        <v>2.5</v>
      </c>
      <c r="L138" s="478">
        <v>2.025</v>
      </c>
      <c r="M138" s="109">
        <v>4.025</v>
      </c>
      <c r="N138" s="109">
        <v>5.95</v>
      </c>
      <c r="O138" s="481">
        <v>5.275</v>
      </c>
      <c r="P138" s="109">
        <v>3.45</v>
      </c>
      <c r="Q138" s="113">
        <v>4.6</v>
      </c>
      <c r="R138" s="481">
        <v>3.925</v>
      </c>
      <c r="S138" s="109">
        <v>2.5</v>
      </c>
      <c r="T138" s="109">
        <v>3.375</v>
      </c>
      <c r="U138" s="138">
        <v>2.5</v>
      </c>
      <c r="V138" s="136"/>
      <c r="W138" s="137"/>
      <c r="X138" s="484"/>
      <c r="Y138" s="480"/>
      <c r="Z138" s="480"/>
      <c r="AA138" s="137"/>
      <c r="AB138" s="480"/>
      <c r="AC138" s="137"/>
      <c r="AD138" s="480"/>
      <c r="AE138" s="490"/>
      <c r="AF138" s="138"/>
      <c r="AG138" s="972"/>
      <c r="AH138" s="1140"/>
      <c r="AI138" s="1140"/>
      <c r="AJ138" s="1140"/>
      <c r="AK138" s="138"/>
      <c r="AL138" s="138"/>
      <c r="AM138" s="138"/>
      <c r="AN138" s="138"/>
    </row>
    <row r="139" spans="1:41" ht="12.75" customHeight="1">
      <c r="A139" s="109">
        <v>26</v>
      </c>
      <c r="B139" s="109"/>
      <c r="C139" s="109">
        <v>7750</v>
      </c>
      <c r="D139" s="476">
        <v>2.35</v>
      </c>
      <c r="E139" s="477">
        <v>3.81</v>
      </c>
      <c r="F139" s="478">
        <v>3.325</v>
      </c>
      <c r="G139" s="476">
        <v>2.15</v>
      </c>
      <c r="H139" s="480">
        <v>3.612</v>
      </c>
      <c r="I139" s="478">
        <v>3.125</v>
      </c>
      <c r="J139" s="476">
        <v>1.6625</v>
      </c>
      <c r="K139" s="477">
        <v>2.55</v>
      </c>
      <c r="L139" s="478">
        <v>2.0625</v>
      </c>
      <c r="M139" s="136">
        <v>4.1125</v>
      </c>
      <c r="N139" s="137">
        <v>6.075</v>
      </c>
      <c r="O139" s="483">
        <v>5.3875</v>
      </c>
      <c r="P139" s="479">
        <v>3.525</v>
      </c>
      <c r="Q139" s="480">
        <v>4.7</v>
      </c>
      <c r="R139" s="481">
        <v>4.0125</v>
      </c>
      <c r="S139" s="479">
        <v>2.55</v>
      </c>
      <c r="T139" s="480">
        <v>3.4375</v>
      </c>
      <c r="U139" s="481">
        <v>2.55</v>
      </c>
      <c r="V139" s="137"/>
      <c r="W139" s="137"/>
      <c r="X139" s="484"/>
      <c r="Y139" s="480"/>
      <c r="Z139" s="480"/>
      <c r="AA139" s="137"/>
      <c r="AB139" s="480"/>
      <c r="AC139" s="137"/>
      <c r="AD139" s="480"/>
      <c r="AE139" s="490"/>
      <c r="AF139" s="138"/>
      <c r="AG139" s="787"/>
      <c r="AH139" s="788"/>
      <c r="AK139" s="777"/>
      <c r="AN139" s="2"/>
      <c r="AO139"/>
    </row>
    <row r="140" spans="1:41" ht="12.75" customHeight="1">
      <c r="A140" s="109">
        <v>27</v>
      </c>
      <c r="B140" s="109"/>
      <c r="C140" s="1121">
        <v>8000</v>
      </c>
      <c r="D140" s="1122">
        <v>2.4</v>
      </c>
      <c r="E140" s="1123">
        <v>3.9</v>
      </c>
      <c r="F140" s="1124">
        <v>3.4</v>
      </c>
      <c r="G140" s="1122">
        <v>2.2</v>
      </c>
      <c r="H140" s="1125">
        <v>3.7</v>
      </c>
      <c r="I140" s="1124">
        <v>3.2</v>
      </c>
      <c r="J140" s="1122">
        <v>1.7</v>
      </c>
      <c r="K140" s="1123">
        <v>2.6</v>
      </c>
      <c r="L140" s="1124">
        <v>2.1</v>
      </c>
      <c r="M140" s="1126">
        <v>4.2</v>
      </c>
      <c r="N140" s="1127">
        <v>6.2</v>
      </c>
      <c r="O140" s="1128">
        <v>5.5</v>
      </c>
      <c r="P140" s="1129">
        <v>3.6</v>
      </c>
      <c r="Q140" s="1125">
        <v>4.8</v>
      </c>
      <c r="R140" s="1130">
        <v>4.1</v>
      </c>
      <c r="S140" s="1129">
        <v>2.6</v>
      </c>
      <c r="T140" s="1125">
        <v>3.5</v>
      </c>
      <c r="U140" s="1130">
        <v>2.6</v>
      </c>
      <c r="V140" s="137"/>
      <c r="W140" s="137"/>
      <c r="X140" s="484"/>
      <c r="Y140" s="480"/>
      <c r="Z140" s="480"/>
      <c r="AA140" s="137"/>
      <c r="AB140" s="480"/>
      <c r="AC140" s="137"/>
      <c r="AD140" s="480"/>
      <c r="AE140" s="490"/>
      <c r="AF140" s="138"/>
      <c r="AG140" s="787"/>
      <c r="AH140" s="788"/>
      <c r="AK140" s="777"/>
      <c r="AN140" s="2"/>
      <c r="AO140"/>
    </row>
    <row r="141" spans="1:41" ht="12.75" customHeight="1">
      <c r="A141" s="109">
        <v>28</v>
      </c>
      <c r="B141" s="109"/>
      <c r="C141" s="109">
        <v>8250</v>
      </c>
      <c r="D141" s="476">
        <v>2.45</v>
      </c>
      <c r="E141" s="477">
        <v>3.99</v>
      </c>
      <c r="F141" s="478">
        <v>3.475</v>
      </c>
      <c r="G141" s="476">
        <v>2.25</v>
      </c>
      <c r="H141" s="480">
        <v>3.787</v>
      </c>
      <c r="I141" s="478">
        <v>3.275</v>
      </c>
      <c r="J141" s="476">
        <v>1.7375</v>
      </c>
      <c r="K141" s="477">
        <v>2.65</v>
      </c>
      <c r="L141" s="478">
        <v>2.1375</v>
      </c>
      <c r="M141" s="136">
        <v>4.2875</v>
      </c>
      <c r="N141" s="137">
        <v>6.325</v>
      </c>
      <c r="O141" s="483">
        <v>5.6125</v>
      </c>
      <c r="P141" s="479">
        <v>3.675</v>
      </c>
      <c r="Q141" s="480">
        <v>4.9</v>
      </c>
      <c r="R141" s="481">
        <v>4.1875</v>
      </c>
      <c r="S141" s="479">
        <v>2.65</v>
      </c>
      <c r="T141" s="480">
        <v>3.5625</v>
      </c>
      <c r="U141" s="481">
        <v>2.65</v>
      </c>
      <c r="V141" s="137"/>
      <c r="W141" s="137"/>
      <c r="X141" s="484"/>
      <c r="Y141" s="480"/>
      <c r="Z141" s="480"/>
      <c r="AA141" s="137"/>
      <c r="AB141" s="480"/>
      <c r="AC141" s="137"/>
      <c r="AD141" s="480"/>
      <c r="AE141" s="490"/>
      <c r="AF141" s="138"/>
      <c r="AG141" s="787"/>
      <c r="AH141" s="788"/>
      <c r="AK141" s="777"/>
      <c r="AN141" s="2"/>
      <c r="AO141"/>
    </row>
    <row r="142" spans="1:41" ht="12.75" customHeight="1">
      <c r="A142" s="109">
        <v>29</v>
      </c>
      <c r="B142" s="109"/>
      <c r="C142" s="109">
        <v>8500</v>
      </c>
      <c r="D142" s="476">
        <v>2.5</v>
      </c>
      <c r="E142" s="477">
        <v>4.07</v>
      </c>
      <c r="F142" s="478">
        <v>3.55</v>
      </c>
      <c r="G142" s="476">
        <v>2.3</v>
      </c>
      <c r="H142" s="480">
        <v>3.875</v>
      </c>
      <c r="I142" s="478">
        <v>3.35</v>
      </c>
      <c r="J142" s="476">
        <v>1.775</v>
      </c>
      <c r="K142" s="477">
        <v>2.7</v>
      </c>
      <c r="L142" s="478">
        <v>2.175</v>
      </c>
      <c r="M142" s="136">
        <v>4.375</v>
      </c>
      <c r="N142" s="137">
        <v>6.45</v>
      </c>
      <c r="O142" s="483">
        <v>5.725</v>
      </c>
      <c r="P142" s="479">
        <v>3.75</v>
      </c>
      <c r="Q142" s="480">
        <v>5</v>
      </c>
      <c r="R142" s="481">
        <v>4.275</v>
      </c>
      <c r="S142" s="479">
        <v>2.7</v>
      </c>
      <c r="T142" s="480">
        <v>3.625</v>
      </c>
      <c r="U142" s="481">
        <v>2.7</v>
      </c>
      <c r="V142" s="137"/>
      <c r="W142" s="137"/>
      <c r="X142" s="484"/>
      <c r="Y142" s="480"/>
      <c r="Z142" s="480"/>
      <c r="AA142" s="137"/>
      <c r="AB142" s="480"/>
      <c r="AC142" s="137"/>
      <c r="AD142" s="480"/>
      <c r="AE142" s="490"/>
      <c r="AF142" s="138"/>
      <c r="AG142" s="787"/>
      <c r="AH142" s="788"/>
      <c r="AK142" s="777"/>
      <c r="AN142" s="2"/>
      <c r="AO142"/>
    </row>
    <row r="143" spans="1:41" ht="12.75" customHeight="1">
      <c r="A143" s="109">
        <v>30</v>
      </c>
      <c r="B143" s="109"/>
      <c r="C143" s="109">
        <v>8750</v>
      </c>
      <c r="D143" s="476">
        <v>2.55</v>
      </c>
      <c r="E143" s="477">
        <v>4.16</v>
      </c>
      <c r="F143" s="478">
        <v>3.625</v>
      </c>
      <c r="G143" s="476">
        <v>2.35</v>
      </c>
      <c r="H143" s="480">
        <v>3.962</v>
      </c>
      <c r="I143" s="478">
        <v>3.425</v>
      </c>
      <c r="J143" s="476">
        <v>1.8125</v>
      </c>
      <c r="K143" s="477">
        <v>2.75</v>
      </c>
      <c r="L143" s="478">
        <v>2.2125</v>
      </c>
      <c r="M143" s="136">
        <v>4.4625</v>
      </c>
      <c r="N143" s="137">
        <v>6.575</v>
      </c>
      <c r="O143" s="483">
        <v>5.8375</v>
      </c>
      <c r="P143" s="479">
        <v>3.825</v>
      </c>
      <c r="Q143" s="480">
        <v>5.1</v>
      </c>
      <c r="R143" s="481">
        <v>4.3625</v>
      </c>
      <c r="S143" s="479">
        <v>2.75</v>
      </c>
      <c r="T143" s="480">
        <v>3.6875</v>
      </c>
      <c r="U143" s="481">
        <v>2.75</v>
      </c>
      <c r="V143" s="137"/>
      <c r="W143" s="137"/>
      <c r="X143" s="484"/>
      <c r="Y143" s="480"/>
      <c r="Z143" s="480"/>
      <c r="AA143" s="137"/>
      <c r="AB143" s="480"/>
      <c r="AC143" s="137"/>
      <c r="AD143" s="480"/>
      <c r="AE143" s="490"/>
      <c r="AF143" s="138"/>
      <c r="AG143" s="787"/>
      <c r="AH143" s="788"/>
      <c r="AK143" s="777"/>
      <c r="AN143" s="2"/>
      <c r="AO143"/>
    </row>
    <row r="144" spans="1:41" ht="12.75" customHeight="1">
      <c r="A144" s="109">
        <v>31</v>
      </c>
      <c r="B144" s="109"/>
      <c r="C144" s="109">
        <v>9000</v>
      </c>
      <c r="D144" s="476">
        <v>2.6</v>
      </c>
      <c r="E144" s="477">
        <v>4.25</v>
      </c>
      <c r="F144" s="478">
        <v>3.7</v>
      </c>
      <c r="G144" s="476">
        <v>2.4</v>
      </c>
      <c r="H144" s="480">
        <v>4.05</v>
      </c>
      <c r="I144" s="478">
        <v>3.5</v>
      </c>
      <c r="J144" s="476">
        <v>1.85</v>
      </c>
      <c r="K144" s="477">
        <v>2.8</v>
      </c>
      <c r="L144" s="478">
        <v>2.25</v>
      </c>
      <c r="M144" s="136">
        <v>4.55</v>
      </c>
      <c r="N144" s="137">
        <v>6.7</v>
      </c>
      <c r="O144" s="483">
        <v>5.95</v>
      </c>
      <c r="P144" s="479">
        <v>3.9</v>
      </c>
      <c r="Q144" s="480">
        <v>5.2</v>
      </c>
      <c r="R144" s="481">
        <v>4.45</v>
      </c>
      <c r="S144" s="479">
        <v>2.8</v>
      </c>
      <c r="T144" s="480">
        <v>3.75</v>
      </c>
      <c r="U144" s="481">
        <v>2.8</v>
      </c>
      <c r="V144" s="137"/>
      <c r="W144" s="137"/>
      <c r="X144" s="484"/>
      <c r="Y144" s="480"/>
      <c r="Z144" s="480"/>
      <c r="AA144" s="137"/>
      <c r="AB144" s="480"/>
      <c r="AC144" s="137"/>
      <c r="AD144" s="480"/>
      <c r="AE144" s="490"/>
      <c r="AF144" s="138"/>
      <c r="AG144" s="787"/>
      <c r="AH144" s="788"/>
      <c r="AK144" s="777"/>
      <c r="AN144" s="2"/>
      <c r="AO144"/>
    </row>
    <row r="145" spans="1:41" ht="12.75" customHeight="1">
      <c r="A145" s="109">
        <v>32</v>
      </c>
      <c r="B145" s="109"/>
      <c r="C145" s="109">
        <v>9250</v>
      </c>
      <c r="D145" s="476">
        <v>2.65</v>
      </c>
      <c r="E145" s="477">
        <v>4.34</v>
      </c>
      <c r="F145" s="478">
        <v>3.775</v>
      </c>
      <c r="G145" s="476">
        <v>2.45</v>
      </c>
      <c r="H145" s="480">
        <v>4.137</v>
      </c>
      <c r="I145" s="478">
        <v>3.575</v>
      </c>
      <c r="J145" s="476">
        <v>1.8875</v>
      </c>
      <c r="K145" s="477">
        <v>2.85</v>
      </c>
      <c r="L145" s="478">
        <v>2.2875</v>
      </c>
      <c r="M145" s="136">
        <v>4.6375</v>
      </c>
      <c r="N145" s="137">
        <v>6.825</v>
      </c>
      <c r="O145" s="483">
        <v>6.0625</v>
      </c>
      <c r="P145" s="479">
        <v>3.975</v>
      </c>
      <c r="Q145" s="480">
        <v>5.3</v>
      </c>
      <c r="R145" s="481">
        <v>5.5375</v>
      </c>
      <c r="S145" s="479">
        <v>2.85</v>
      </c>
      <c r="T145" s="480">
        <v>3.8125</v>
      </c>
      <c r="U145" s="481">
        <v>2.85</v>
      </c>
      <c r="V145" s="137"/>
      <c r="W145" s="137"/>
      <c r="X145" s="484"/>
      <c r="Y145" s="480"/>
      <c r="Z145" s="480"/>
      <c r="AA145" s="137"/>
      <c r="AB145" s="480"/>
      <c r="AC145" s="137"/>
      <c r="AD145" s="480"/>
      <c r="AE145" s="490"/>
      <c r="AF145" s="138"/>
      <c r="AG145" s="787"/>
      <c r="AH145" s="788"/>
      <c r="AK145" s="777"/>
      <c r="AN145" s="2"/>
      <c r="AO145"/>
    </row>
    <row r="146" spans="1:41" ht="12.75" customHeight="1">
      <c r="A146" s="109">
        <v>33</v>
      </c>
      <c r="B146" s="109"/>
      <c r="C146" s="109">
        <v>9500</v>
      </c>
      <c r="D146" s="476">
        <v>2.7</v>
      </c>
      <c r="E146" s="477">
        <v>4.43</v>
      </c>
      <c r="F146" s="478">
        <v>3.85</v>
      </c>
      <c r="G146" s="476">
        <v>2.5</v>
      </c>
      <c r="H146" s="480">
        <v>4.225</v>
      </c>
      <c r="I146" s="478">
        <v>3.65</v>
      </c>
      <c r="J146" s="476">
        <v>1.925</v>
      </c>
      <c r="K146" s="477">
        <v>2.9</v>
      </c>
      <c r="L146" s="478">
        <v>2.325</v>
      </c>
      <c r="M146" s="136">
        <v>4.725</v>
      </c>
      <c r="N146" s="137">
        <v>6.95</v>
      </c>
      <c r="O146" s="483">
        <v>6.175</v>
      </c>
      <c r="P146" s="479">
        <v>4.05</v>
      </c>
      <c r="Q146" s="480">
        <v>5.4</v>
      </c>
      <c r="R146" s="481">
        <v>4.625</v>
      </c>
      <c r="S146" s="479">
        <v>2.9</v>
      </c>
      <c r="T146" s="480">
        <v>3.875</v>
      </c>
      <c r="U146" s="481">
        <v>2.9</v>
      </c>
      <c r="V146" s="137"/>
      <c r="W146" s="137"/>
      <c r="X146" s="484"/>
      <c r="Y146" s="480"/>
      <c r="Z146" s="480"/>
      <c r="AA146" s="137"/>
      <c r="AB146" s="480"/>
      <c r="AC146" s="137"/>
      <c r="AD146" s="480"/>
      <c r="AE146" s="490"/>
      <c r="AF146" s="138"/>
      <c r="AG146" s="787"/>
      <c r="AH146" s="788"/>
      <c r="AK146" s="777"/>
      <c r="AN146" s="2"/>
      <c r="AO146"/>
    </row>
    <row r="147" spans="1:41" ht="12.75" customHeight="1">
      <c r="A147" s="109">
        <v>34</v>
      </c>
      <c r="B147" s="109"/>
      <c r="C147" s="109">
        <v>9750</v>
      </c>
      <c r="D147" s="476">
        <v>2.75</v>
      </c>
      <c r="E147" s="477">
        <v>4.51</v>
      </c>
      <c r="F147" s="478">
        <v>3.925</v>
      </c>
      <c r="G147" s="476">
        <v>2.55</v>
      </c>
      <c r="H147" s="480">
        <v>4.312</v>
      </c>
      <c r="I147" s="478">
        <v>3.725</v>
      </c>
      <c r="J147" s="476">
        <v>1.9625</v>
      </c>
      <c r="K147" s="477">
        <v>2.95</v>
      </c>
      <c r="L147" s="478">
        <v>2.3625</v>
      </c>
      <c r="M147" s="136">
        <v>4.8125</v>
      </c>
      <c r="N147" s="137">
        <v>7.075</v>
      </c>
      <c r="O147" s="483">
        <v>6.2875</v>
      </c>
      <c r="P147" s="479">
        <v>4.125</v>
      </c>
      <c r="Q147" s="480">
        <v>5.5</v>
      </c>
      <c r="R147" s="481">
        <v>4.7125</v>
      </c>
      <c r="S147" s="479">
        <v>2.95</v>
      </c>
      <c r="T147" s="480">
        <v>3.9375</v>
      </c>
      <c r="U147" s="481">
        <v>2.95</v>
      </c>
      <c r="V147" s="137"/>
      <c r="W147" s="137"/>
      <c r="X147" s="484"/>
      <c r="Y147" s="480"/>
      <c r="Z147" s="480"/>
      <c r="AA147" s="137"/>
      <c r="AB147" s="480"/>
      <c r="AC147" s="137"/>
      <c r="AD147" s="480"/>
      <c r="AE147" s="490"/>
      <c r="AF147" s="138"/>
      <c r="AG147" s="787"/>
      <c r="AH147" s="788"/>
      <c r="AK147" s="777"/>
      <c r="AN147" s="2"/>
      <c r="AO147"/>
    </row>
    <row r="148" spans="1:41" ht="12.75" customHeight="1">
      <c r="A148" s="109">
        <v>35</v>
      </c>
      <c r="B148" s="109"/>
      <c r="C148" s="1121">
        <v>10000</v>
      </c>
      <c r="D148" s="1122">
        <v>2.8</v>
      </c>
      <c r="E148" s="1123">
        <v>4.6</v>
      </c>
      <c r="F148" s="1124">
        <v>4</v>
      </c>
      <c r="G148" s="1122">
        <v>2.6</v>
      </c>
      <c r="H148" s="1125">
        <v>4.4</v>
      </c>
      <c r="I148" s="1124">
        <v>3.8</v>
      </c>
      <c r="J148" s="1122">
        <v>2</v>
      </c>
      <c r="K148" s="1123">
        <v>3</v>
      </c>
      <c r="L148" s="1124">
        <v>2.4</v>
      </c>
      <c r="M148" s="1126">
        <v>4.9</v>
      </c>
      <c r="N148" s="1127">
        <v>7.2</v>
      </c>
      <c r="O148" s="1128">
        <v>6.4</v>
      </c>
      <c r="P148" s="1129">
        <v>4.2</v>
      </c>
      <c r="Q148" s="1125">
        <v>5.6</v>
      </c>
      <c r="R148" s="1130">
        <v>4.8</v>
      </c>
      <c r="S148" s="1129">
        <v>3</v>
      </c>
      <c r="T148" s="1125">
        <v>4</v>
      </c>
      <c r="U148" s="1130">
        <v>3</v>
      </c>
      <c r="V148" s="137"/>
      <c r="W148" s="137"/>
      <c r="X148" s="484"/>
      <c r="Y148" s="480"/>
      <c r="Z148" s="480"/>
      <c r="AA148" s="137"/>
      <c r="AB148" s="480"/>
      <c r="AC148" s="137"/>
      <c r="AD148" s="480"/>
      <c r="AE148" s="490"/>
      <c r="AF148" s="138"/>
      <c r="AG148" s="787"/>
      <c r="AH148" s="788"/>
      <c r="AK148" s="777"/>
      <c r="AN148" s="2"/>
      <c r="AO148"/>
    </row>
    <row r="149" spans="1:41" ht="12.75" customHeight="1">
      <c r="A149" s="109">
        <v>36</v>
      </c>
      <c r="B149" s="109"/>
      <c r="C149" s="109">
        <v>10250</v>
      </c>
      <c r="D149" s="476">
        <v>2.85</v>
      </c>
      <c r="E149" s="477">
        <v>4.69</v>
      </c>
      <c r="F149" s="478">
        <v>4.075</v>
      </c>
      <c r="G149" s="476">
        <v>2.65</v>
      </c>
      <c r="H149" s="480">
        <v>4.487</v>
      </c>
      <c r="I149" s="478">
        <v>3.875</v>
      </c>
      <c r="J149" s="476">
        <v>2.0375</v>
      </c>
      <c r="K149" s="477">
        <v>3.1</v>
      </c>
      <c r="L149" s="478">
        <v>2.4375</v>
      </c>
      <c r="M149" s="136">
        <v>4.9875</v>
      </c>
      <c r="N149" s="137">
        <v>7.325</v>
      </c>
      <c r="O149" s="483">
        <v>6.5125</v>
      </c>
      <c r="P149" s="479">
        <v>4.275</v>
      </c>
      <c r="Q149" s="480">
        <v>5.7</v>
      </c>
      <c r="R149" s="481">
        <v>4.8875</v>
      </c>
      <c r="S149" s="479">
        <v>3.05</v>
      </c>
      <c r="T149" s="480">
        <v>4.0625</v>
      </c>
      <c r="U149" s="481">
        <v>3.05</v>
      </c>
      <c r="V149" s="137"/>
      <c r="W149" s="137"/>
      <c r="X149" s="484"/>
      <c r="Y149" s="480"/>
      <c r="Z149" s="480"/>
      <c r="AA149" s="137"/>
      <c r="AB149" s="480"/>
      <c r="AC149" s="137"/>
      <c r="AD149" s="480"/>
      <c r="AE149" s="490"/>
      <c r="AF149" s="138"/>
      <c r="AG149" s="787"/>
      <c r="AH149" s="788"/>
      <c r="AK149" s="777"/>
      <c r="AN149" s="2"/>
      <c r="AO149"/>
    </row>
    <row r="150" spans="1:41" ht="12.75" customHeight="1">
      <c r="A150" s="109">
        <v>37</v>
      </c>
      <c r="B150" s="109"/>
      <c r="C150" s="109">
        <v>10500</v>
      </c>
      <c r="D150" s="476">
        <v>2.9</v>
      </c>
      <c r="E150" s="477">
        <v>4.77</v>
      </c>
      <c r="F150" s="478">
        <v>4.15</v>
      </c>
      <c r="G150" s="476">
        <v>2.7</v>
      </c>
      <c r="H150" s="480">
        <v>4.575</v>
      </c>
      <c r="I150" s="478">
        <v>3.95</v>
      </c>
      <c r="J150" s="476">
        <v>2.075</v>
      </c>
      <c r="K150" s="477">
        <v>3.18</v>
      </c>
      <c r="L150" s="478">
        <v>2.475</v>
      </c>
      <c r="M150" s="136">
        <v>5.075</v>
      </c>
      <c r="N150" s="137">
        <v>7.45</v>
      </c>
      <c r="O150" s="483">
        <v>6.625</v>
      </c>
      <c r="P150" s="479">
        <v>4.35</v>
      </c>
      <c r="Q150" s="480">
        <v>5.8</v>
      </c>
      <c r="R150" s="481">
        <v>4.975</v>
      </c>
      <c r="S150" s="479">
        <v>3.1</v>
      </c>
      <c r="T150" s="480">
        <v>4.125</v>
      </c>
      <c r="U150" s="481">
        <v>3.1</v>
      </c>
      <c r="V150" s="109"/>
      <c r="W150" s="109"/>
      <c r="X150" s="126"/>
      <c r="Y150" s="126"/>
      <c r="Z150" s="126"/>
      <c r="AA150" s="126"/>
      <c r="AB150" s="126"/>
      <c r="AC150" s="490"/>
      <c r="AD150" s="490"/>
      <c r="AE150" s="490"/>
      <c r="AF150" s="138"/>
      <c r="AG150" s="787"/>
      <c r="AH150" s="788"/>
      <c r="AK150" s="777"/>
      <c r="AN150" s="2"/>
      <c r="AO150"/>
    </row>
    <row r="151" spans="1:41" ht="12.75" customHeight="1">
      <c r="A151" s="109">
        <v>38</v>
      </c>
      <c r="B151" s="109"/>
      <c r="C151" s="109">
        <v>10750</v>
      </c>
      <c r="D151" s="476">
        <v>2.95</v>
      </c>
      <c r="E151" s="477">
        <v>4.86</v>
      </c>
      <c r="F151" s="478">
        <v>4.225</v>
      </c>
      <c r="G151" s="476">
        <v>2.75</v>
      </c>
      <c r="H151" s="480">
        <v>4.662</v>
      </c>
      <c r="I151" s="478">
        <v>4.025</v>
      </c>
      <c r="J151" s="476">
        <v>2.1125</v>
      </c>
      <c r="K151" s="477">
        <v>3.26</v>
      </c>
      <c r="L151" s="478">
        <v>2.5125</v>
      </c>
      <c r="M151" s="136">
        <v>5.1625</v>
      </c>
      <c r="N151" s="137">
        <v>7.575</v>
      </c>
      <c r="O151" s="483">
        <v>6.7375</v>
      </c>
      <c r="P151" s="479">
        <v>4.425</v>
      </c>
      <c r="Q151" s="480">
        <v>5.9</v>
      </c>
      <c r="R151" s="481">
        <v>5.0625</v>
      </c>
      <c r="S151" s="479">
        <v>3.15</v>
      </c>
      <c r="T151" s="480">
        <v>4.1875</v>
      </c>
      <c r="U151" s="481">
        <v>3.15</v>
      </c>
      <c r="V151" s="109"/>
      <c r="W151" s="109"/>
      <c r="X151" s="126"/>
      <c r="Y151" s="126"/>
      <c r="Z151" s="126"/>
      <c r="AA151" s="126"/>
      <c r="AB151" s="126"/>
      <c r="AC151" s="490"/>
      <c r="AD151" s="490"/>
      <c r="AE151" s="490"/>
      <c r="AF151" s="138"/>
      <c r="AG151" s="787"/>
      <c r="AH151" s="788"/>
      <c r="AK151" s="777"/>
      <c r="AN151" s="2"/>
      <c r="AO151"/>
    </row>
    <row r="152" spans="1:41" ht="12.75" customHeight="1">
      <c r="A152" s="109">
        <v>39</v>
      </c>
      <c r="B152" s="109"/>
      <c r="C152" s="109">
        <v>11000</v>
      </c>
      <c r="D152" s="476">
        <v>3</v>
      </c>
      <c r="E152" s="477">
        <v>4.95</v>
      </c>
      <c r="F152" s="478">
        <v>4.3</v>
      </c>
      <c r="G152" s="476">
        <v>2.8</v>
      </c>
      <c r="H152" s="480">
        <v>4.75</v>
      </c>
      <c r="I152" s="478">
        <v>4.1</v>
      </c>
      <c r="J152" s="476">
        <v>2.15</v>
      </c>
      <c r="K152" s="477">
        <v>3.3</v>
      </c>
      <c r="L152" s="478">
        <v>2.55</v>
      </c>
      <c r="M152" s="479">
        <v>5.25</v>
      </c>
      <c r="N152" s="480">
        <v>7.7</v>
      </c>
      <c r="O152" s="722">
        <v>6.85</v>
      </c>
      <c r="P152" s="479">
        <v>4.5</v>
      </c>
      <c r="Q152" s="480">
        <v>6</v>
      </c>
      <c r="R152" s="481">
        <v>5.15</v>
      </c>
      <c r="S152" s="479">
        <v>3.2</v>
      </c>
      <c r="T152" s="480">
        <v>4.25</v>
      </c>
      <c r="U152" s="481">
        <v>3.2</v>
      </c>
      <c r="V152" s="109"/>
      <c r="W152" s="109"/>
      <c r="X152" s="126"/>
      <c r="Y152" s="126"/>
      <c r="Z152" s="126"/>
      <c r="AA152" s="126"/>
      <c r="AB152" s="126"/>
      <c r="AC152" s="490"/>
      <c r="AD152" s="490"/>
      <c r="AE152" s="490"/>
      <c r="AF152" s="138"/>
      <c r="AG152" s="787"/>
      <c r="AH152" s="788"/>
      <c r="AK152" s="777"/>
      <c r="AN152" s="2"/>
      <c r="AO152"/>
    </row>
    <row r="153" spans="1:41" ht="12.75" customHeight="1">
      <c r="A153" s="109">
        <v>40</v>
      </c>
      <c r="B153" s="109"/>
      <c r="C153" s="109">
        <v>11250</v>
      </c>
      <c r="D153" s="476">
        <v>3.05</v>
      </c>
      <c r="E153" s="477">
        <v>5.03</v>
      </c>
      <c r="F153" s="478">
        <v>4.375</v>
      </c>
      <c r="G153" s="476">
        <v>2.85</v>
      </c>
      <c r="H153" s="480">
        <v>4.837</v>
      </c>
      <c r="I153" s="478">
        <v>4.175</v>
      </c>
      <c r="J153" s="476">
        <v>2.1875</v>
      </c>
      <c r="K153" s="477">
        <v>3.35</v>
      </c>
      <c r="L153" s="478">
        <v>2.5875</v>
      </c>
      <c r="M153" s="479">
        <v>5.3375</v>
      </c>
      <c r="N153" s="480">
        <v>7.825</v>
      </c>
      <c r="O153" s="722">
        <v>6.9625</v>
      </c>
      <c r="P153" s="479">
        <v>4.575</v>
      </c>
      <c r="Q153" s="480">
        <v>6.1</v>
      </c>
      <c r="R153" s="481">
        <v>5.2375</v>
      </c>
      <c r="S153" s="479">
        <v>3.25</v>
      </c>
      <c r="T153" s="480">
        <v>4.3125</v>
      </c>
      <c r="U153" s="481">
        <v>3.25</v>
      </c>
      <c r="V153" s="109"/>
      <c r="W153" s="109"/>
      <c r="X153" s="126"/>
      <c r="Y153" s="126"/>
      <c r="Z153" s="126"/>
      <c r="AA153" s="126"/>
      <c r="AB153" s="126"/>
      <c r="AC153" s="490"/>
      <c r="AD153" s="490"/>
      <c r="AE153" s="490"/>
      <c r="AF153" s="138"/>
      <c r="AG153" s="787"/>
      <c r="AH153" s="788"/>
      <c r="AK153" s="777"/>
      <c r="AN153" s="2"/>
      <c r="AO153"/>
    </row>
    <row r="154" spans="1:41" ht="12.75" customHeight="1">
      <c r="A154" s="109">
        <v>41</v>
      </c>
      <c r="B154" s="109"/>
      <c r="C154" s="109">
        <v>11500</v>
      </c>
      <c r="D154" s="476">
        <v>3.1</v>
      </c>
      <c r="E154" s="477">
        <v>5.13</v>
      </c>
      <c r="F154" s="478">
        <v>4.45</v>
      </c>
      <c r="G154" s="476">
        <v>2.9</v>
      </c>
      <c r="H154" s="480">
        <v>4.925</v>
      </c>
      <c r="I154" s="478">
        <v>4.25</v>
      </c>
      <c r="J154" s="476">
        <v>2.225</v>
      </c>
      <c r="K154" s="477">
        <v>3.43</v>
      </c>
      <c r="L154" s="478">
        <v>2.625</v>
      </c>
      <c r="M154" s="479">
        <v>5.425</v>
      </c>
      <c r="N154" s="480">
        <v>7.95</v>
      </c>
      <c r="O154" s="722">
        <v>7.075</v>
      </c>
      <c r="P154" s="479">
        <v>4.65</v>
      </c>
      <c r="Q154" s="480">
        <v>6.2</v>
      </c>
      <c r="R154" s="481">
        <v>5.325</v>
      </c>
      <c r="S154" s="479">
        <v>3.3</v>
      </c>
      <c r="T154" s="480">
        <v>4.375</v>
      </c>
      <c r="U154" s="481">
        <v>3.3</v>
      </c>
      <c r="V154" s="109"/>
      <c r="W154" s="109"/>
      <c r="X154" s="126"/>
      <c r="Y154" s="126"/>
      <c r="Z154" s="126"/>
      <c r="AA154" s="126"/>
      <c r="AB154" s="126"/>
      <c r="AC154" s="490"/>
      <c r="AD154" s="490"/>
      <c r="AE154" s="490"/>
      <c r="AF154" s="138"/>
      <c r="AG154" s="787"/>
      <c r="AH154" s="788"/>
      <c r="AK154" s="777"/>
      <c r="AN154" s="2"/>
      <c r="AO154"/>
    </row>
    <row r="155" spans="1:41" ht="12.75" customHeight="1">
      <c r="A155" s="109">
        <v>42</v>
      </c>
      <c r="B155" s="109"/>
      <c r="C155" s="109">
        <v>11750</v>
      </c>
      <c r="D155" s="476">
        <v>3.15</v>
      </c>
      <c r="E155" s="477">
        <v>5.21</v>
      </c>
      <c r="F155" s="478">
        <v>4.525</v>
      </c>
      <c r="G155" s="476">
        <v>2.95</v>
      </c>
      <c r="H155" s="480">
        <v>5.012</v>
      </c>
      <c r="I155" s="478">
        <v>4.325</v>
      </c>
      <c r="J155" s="476">
        <v>2.2625</v>
      </c>
      <c r="K155" s="477">
        <v>3.52</v>
      </c>
      <c r="L155" s="478">
        <v>2.6625</v>
      </c>
      <c r="M155" s="479">
        <v>5.5125</v>
      </c>
      <c r="N155" s="480">
        <v>8.075</v>
      </c>
      <c r="O155" s="722">
        <v>7.1875</v>
      </c>
      <c r="P155" s="479">
        <v>4.725</v>
      </c>
      <c r="Q155" s="480">
        <v>6.3</v>
      </c>
      <c r="R155" s="481">
        <v>5.4125</v>
      </c>
      <c r="S155" s="479">
        <v>3.35</v>
      </c>
      <c r="T155" s="480">
        <v>4.4375</v>
      </c>
      <c r="U155" s="481">
        <v>3.35</v>
      </c>
      <c r="V155" s="109"/>
      <c r="W155" s="109"/>
      <c r="X155" s="126"/>
      <c r="Y155" s="126"/>
      <c r="Z155" s="126"/>
      <c r="AA155" s="126"/>
      <c r="AB155" s="126"/>
      <c r="AC155" s="490"/>
      <c r="AD155" s="490"/>
      <c r="AE155" s="490"/>
      <c r="AF155" s="138"/>
      <c r="AG155" s="787"/>
      <c r="AH155" s="788"/>
      <c r="AK155" s="777"/>
      <c r="AN155" s="2"/>
      <c r="AO155"/>
    </row>
    <row r="156" spans="1:41" ht="12.75" customHeight="1" thickBot="1">
      <c r="A156" s="109">
        <v>43</v>
      </c>
      <c r="B156" s="109"/>
      <c r="C156" s="1121">
        <v>12000</v>
      </c>
      <c r="D156" s="1131">
        <v>3.2</v>
      </c>
      <c r="E156" s="1132">
        <v>5.3</v>
      </c>
      <c r="F156" s="1133">
        <v>4.6</v>
      </c>
      <c r="G156" s="1131">
        <v>3</v>
      </c>
      <c r="H156" s="1134">
        <v>5.1</v>
      </c>
      <c r="I156" s="1133">
        <v>4.4</v>
      </c>
      <c r="J156" s="1131">
        <v>2.3</v>
      </c>
      <c r="K156" s="1132">
        <v>3.6</v>
      </c>
      <c r="L156" s="1133">
        <v>2.7</v>
      </c>
      <c r="M156" s="1135">
        <v>5.6</v>
      </c>
      <c r="N156" s="1134">
        <v>8.2</v>
      </c>
      <c r="O156" s="1136">
        <v>7.3</v>
      </c>
      <c r="P156" s="1135">
        <v>4.8</v>
      </c>
      <c r="Q156" s="1134">
        <v>6.4</v>
      </c>
      <c r="R156" s="1137">
        <v>5.5</v>
      </c>
      <c r="S156" s="1135">
        <v>3.4</v>
      </c>
      <c r="T156" s="1134">
        <v>4.5</v>
      </c>
      <c r="U156" s="1137">
        <v>3.4</v>
      </c>
      <c r="V156" s="109"/>
      <c r="W156" s="109"/>
      <c r="X156" s="126"/>
      <c r="Y156" s="126"/>
      <c r="Z156" s="126"/>
      <c r="AA156" s="126"/>
      <c r="AB156" s="126"/>
      <c r="AC156" s="490"/>
      <c r="AD156" s="490"/>
      <c r="AE156" s="490"/>
      <c r="AF156" s="138"/>
      <c r="AG156" s="787"/>
      <c r="AH156" s="788"/>
      <c r="AK156" s="777"/>
      <c r="AN156" s="2"/>
      <c r="AO156"/>
    </row>
    <row r="157" spans="1:41" ht="12.75" customHeight="1">
      <c r="A157" s="109"/>
      <c r="B157" s="109"/>
      <c r="C157" s="109"/>
      <c r="D157"/>
      <c r="F157" s="616"/>
      <c r="G157" s="490"/>
      <c r="H157" s="869"/>
      <c r="I157" s="477"/>
      <c r="J157" s="477"/>
      <c r="K157" s="477"/>
      <c r="L157" s="477"/>
      <c r="M157" s="137"/>
      <c r="N157" s="137"/>
      <c r="O157" s="487"/>
      <c r="P157" s="480"/>
      <c r="Q157" s="480"/>
      <c r="R157" s="137"/>
      <c r="S157" s="480"/>
      <c r="T157" s="137"/>
      <c r="U157" s="480"/>
      <c r="V157" s="109"/>
      <c r="W157" s="109"/>
      <c r="X157" s="126"/>
      <c r="Y157" s="126"/>
      <c r="Z157" s="126"/>
      <c r="AA157" s="126"/>
      <c r="AB157" s="126"/>
      <c r="AC157" s="490"/>
      <c r="AD157" s="490"/>
      <c r="AE157" s="490"/>
      <c r="AF157" s="138"/>
      <c r="AG157" s="787"/>
      <c r="AH157" s="788"/>
      <c r="AK157" s="777"/>
      <c r="AN157" s="2"/>
      <c r="AO157"/>
    </row>
    <row r="158" spans="1:41" ht="12.75" customHeight="1">
      <c r="A158" s="109"/>
      <c r="B158" s="109"/>
      <c r="C158" s="109"/>
      <c r="D158" s="477"/>
      <c r="E158" s="477"/>
      <c r="F158" s="477"/>
      <c r="G158" s="477"/>
      <c r="H158" s="480"/>
      <c r="I158" s="477"/>
      <c r="J158" s="477"/>
      <c r="K158" s="477"/>
      <c r="L158" s="477"/>
      <c r="M158" s="137"/>
      <c r="N158" s="137"/>
      <c r="O158" s="484"/>
      <c r="P158" s="480"/>
      <c r="Q158" s="480"/>
      <c r="R158" s="137"/>
      <c r="S158" s="480"/>
      <c r="T158" s="137"/>
      <c r="U158" s="480"/>
      <c r="V158" s="109"/>
      <c r="W158" s="109"/>
      <c r="X158" s="126"/>
      <c r="Y158" s="126"/>
      <c r="Z158" s="126"/>
      <c r="AA158" s="126"/>
      <c r="AB158" s="126"/>
      <c r="AC158" s="490"/>
      <c r="AD158" s="490"/>
      <c r="AE158" s="490"/>
      <c r="AF158" s="138"/>
      <c r="AG158" s="787"/>
      <c r="AH158" s="788"/>
      <c r="AK158" s="777"/>
      <c r="AN158" s="2"/>
      <c r="AO158"/>
    </row>
    <row r="159" spans="1:40" s="39" customFormat="1" ht="12.75" customHeight="1" thickBot="1">
      <c r="A159" s="109"/>
      <c r="B159" s="109"/>
      <c r="C159" s="114" t="s">
        <v>551</v>
      </c>
      <c r="D159" s="126"/>
      <c r="E159" s="1121" t="s">
        <v>741</v>
      </c>
      <c r="F159" s="1121"/>
      <c r="G159" s="126"/>
      <c r="H159" s="480"/>
      <c r="I159" s="126"/>
      <c r="J159" s="126"/>
      <c r="K159" s="126"/>
      <c r="L159" s="126"/>
      <c r="M159" s="126"/>
      <c r="N159" s="126"/>
      <c r="O159" s="480"/>
      <c r="P159" s="126"/>
      <c r="Q159" s="480"/>
      <c r="R159" s="480"/>
      <c r="S159" s="126"/>
      <c r="T159" s="126"/>
      <c r="U159" s="490"/>
      <c r="V159" s="126"/>
      <c r="W159" s="126"/>
      <c r="X159" s="126"/>
      <c r="Y159" s="126"/>
      <c r="Z159" s="126"/>
      <c r="AA159" s="126"/>
      <c r="AB159" s="126"/>
      <c r="AC159" s="490"/>
      <c r="AD159" s="490"/>
      <c r="AE159" s="490"/>
      <c r="AF159" s="490"/>
      <c r="AG159" s="787"/>
      <c r="AH159" s="788"/>
      <c r="AI159" s="788"/>
      <c r="AJ159" s="788"/>
      <c r="AK159" s="777"/>
      <c r="AL159" s="777"/>
      <c r="AM159" s="777"/>
      <c r="AN159" s="88"/>
    </row>
    <row r="160" spans="1:41" ht="12.75" customHeight="1" thickBot="1">
      <c r="A160" s="109"/>
      <c r="B160" s="109"/>
      <c r="C160" s="727" t="s">
        <v>552</v>
      </c>
      <c r="D160" s="727" t="s">
        <v>553</v>
      </c>
      <c r="E160" s="139"/>
      <c r="F160" s="728"/>
      <c r="G160" s="126"/>
      <c r="H160" s="480"/>
      <c r="I160" s="490"/>
      <c r="J160" s="490"/>
      <c r="K160" s="490"/>
      <c r="L160" s="490"/>
      <c r="M160" s="490"/>
      <c r="N160" s="490"/>
      <c r="O160" s="490"/>
      <c r="P160" s="490"/>
      <c r="Q160" s="490"/>
      <c r="R160" s="490"/>
      <c r="S160" s="490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490"/>
      <c r="AG160" s="789"/>
      <c r="AH160" s="788"/>
      <c r="AI160" s="794"/>
      <c r="AK160" s="777"/>
      <c r="AN160" s="2"/>
      <c r="AO160"/>
    </row>
    <row r="161" spans="1:41" ht="12.75" customHeight="1" thickBot="1">
      <c r="A161" s="109"/>
      <c r="B161" s="109"/>
      <c r="C161" s="729"/>
      <c r="D161" s="730" t="s">
        <v>554</v>
      </c>
      <c r="E161" s="731" t="s">
        <v>555</v>
      </c>
      <c r="F161" s="732" t="s">
        <v>556</v>
      </c>
      <c r="G161" s="480"/>
      <c r="H161" s="480"/>
      <c r="I161" s="490"/>
      <c r="J161" s="490"/>
      <c r="K161" s="490"/>
      <c r="L161" s="490"/>
      <c r="M161" s="490"/>
      <c r="N161" s="490"/>
      <c r="O161" s="490"/>
      <c r="P161" s="490"/>
      <c r="Q161" s="490"/>
      <c r="R161" s="490"/>
      <c r="S161" s="490"/>
      <c r="T161" s="723"/>
      <c r="U161" s="723"/>
      <c r="V161" s="723"/>
      <c r="W161" s="723"/>
      <c r="X161" s="723"/>
      <c r="Y161" s="723"/>
      <c r="Z161" s="723"/>
      <c r="AA161" s="723"/>
      <c r="AB161" s="723"/>
      <c r="AC161" s="723"/>
      <c r="AD161" s="723"/>
      <c r="AE161" s="723"/>
      <c r="AF161" s="490"/>
      <c r="AG161" s="789"/>
      <c r="AH161" s="788"/>
      <c r="AI161" s="795"/>
      <c r="AK161" s="777"/>
      <c r="AN161" s="2"/>
      <c r="AO161"/>
    </row>
    <row r="162" spans="1:41" ht="12.75">
      <c r="A162" s="109"/>
      <c r="B162" s="109"/>
      <c r="C162" s="733" t="s">
        <v>557</v>
      </c>
      <c r="D162" s="733">
        <v>6</v>
      </c>
      <c r="E162" s="727">
        <v>4</v>
      </c>
      <c r="F162" s="734">
        <v>2</v>
      </c>
      <c r="G162" s="724"/>
      <c r="H162" s="870"/>
      <c r="I162" s="725"/>
      <c r="J162" s="725"/>
      <c r="K162" s="725"/>
      <c r="L162" s="725"/>
      <c r="M162" s="725"/>
      <c r="N162" s="725"/>
      <c r="O162" s="725"/>
      <c r="P162" s="725"/>
      <c r="Q162" s="725"/>
      <c r="R162" s="725"/>
      <c r="S162" s="725"/>
      <c r="T162" s="726"/>
      <c r="U162" s="726"/>
      <c r="V162" s="726"/>
      <c r="W162" s="726"/>
      <c r="X162" s="726"/>
      <c r="Y162" s="726"/>
      <c r="Z162" s="726"/>
      <c r="AA162" s="726"/>
      <c r="AB162" s="726"/>
      <c r="AC162" s="726"/>
      <c r="AD162" s="726"/>
      <c r="AE162" s="726"/>
      <c r="AF162" s="490"/>
      <c r="AG162" s="789"/>
      <c r="AH162" s="788"/>
      <c r="AK162" s="777"/>
      <c r="AN162" s="2"/>
      <c r="AO162"/>
    </row>
    <row r="163" spans="1:41" ht="12.75" customHeight="1">
      <c r="A163" s="109"/>
      <c r="B163" s="109"/>
      <c r="C163" s="733" t="s">
        <v>558</v>
      </c>
      <c r="D163" s="733">
        <v>7</v>
      </c>
      <c r="E163" s="733">
        <v>5.5</v>
      </c>
      <c r="F163" s="733">
        <v>2.5</v>
      </c>
      <c r="G163" s="126"/>
      <c r="H163" s="480"/>
      <c r="I163" s="126"/>
      <c r="J163" s="126"/>
      <c r="K163" s="126"/>
      <c r="L163" s="126"/>
      <c r="M163" s="126"/>
      <c r="N163" s="126"/>
      <c r="O163" s="480"/>
      <c r="P163" s="126"/>
      <c r="Q163" s="480"/>
      <c r="R163" s="480"/>
      <c r="S163" s="126"/>
      <c r="T163" s="126"/>
      <c r="U163" s="490"/>
      <c r="V163" s="126"/>
      <c r="W163" s="126"/>
      <c r="X163" s="126"/>
      <c r="Y163" s="126"/>
      <c r="Z163" s="126"/>
      <c r="AA163" s="126"/>
      <c r="AB163" s="126"/>
      <c r="AC163" s="490"/>
      <c r="AD163" s="490"/>
      <c r="AE163" s="490"/>
      <c r="AF163" s="490"/>
      <c r="AG163" s="787"/>
      <c r="AH163" s="788"/>
      <c r="AK163" s="777"/>
      <c r="AN163" s="2"/>
      <c r="AO163"/>
    </row>
    <row r="164" spans="1:41" ht="12.75" customHeight="1" thickBot="1">
      <c r="A164" s="109"/>
      <c r="B164" s="109"/>
      <c r="C164" s="733" t="s">
        <v>559</v>
      </c>
      <c r="D164" s="733">
        <v>8</v>
      </c>
      <c r="E164" s="733">
        <v>7</v>
      </c>
      <c r="F164" s="733">
        <v>2.5</v>
      </c>
      <c r="G164" s="109"/>
      <c r="H164" s="113"/>
      <c r="I164" s="109"/>
      <c r="J164" s="109"/>
      <c r="K164" s="109"/>
      <c r="L164" s="109"/>
      <c r="M164" s="109"/>
      <c r="N164" s="109"/>
      <c r="O164" s="113"/>
      <c r="P164" s="109"/>
      <c r="Q164" s="113"/>
      <c r="R164" s="113"/>
      <c r="S164" s="109"/>
      <c r="T164" s="109"/>
      <c r="U164" s="138"/>
      <c r="V164" s="109"/>
      <c r="W164" s="109"/>
      <c r="X164" s="109"/>
      <c r="Y164" s="109"/>
      <c r="Z164" s="109"/>
      <c r="AA164" s="109"/>
      <c r="AB164" s="109"/>
      <c r="AC164" s="138"/>
      <c r="AD164" s="138"/>
      <c r="AE164" s="138"/>
      <c r="AF164" s="138"/>
      <c r="AG164" s="787"/>
      <c r="AH164" s="788"/>
      <c r="AK164" s="777"/>
      <c r="AN164" s="2"/>
      <c r="AO164"/>
    </row>
    <row r="165" spans="1:41" ht="12.75" customHeight="1" thickBot="1">
      <c r="A165" s="109"/>
      <c r="B165" s="109"/>
      <c r="C165" s="729" t="s">
        <v>560</v>
      </c>
      <c r="D165" s="729">
        <v>12</v>
      </c>
      <c r="E165" s="729">
        <v>12</v>
      </c>
      <c r="F165" s="729">
        <v>2.5</v>
      </c>
      <c r="H165" s="1"/>
      <c r="I165"/>
      <c r="P165"/>
      <c r="R165"/>
      <c r="S165"/>
      <c r="V165"/>
      <c r="W165" s="109"/>
      <c r="X165" s="109"/>
      <c r="Y165" s="109"/>
      <c r="Z165" s="109"/>
      <c r="AA165" s="109"/>
      <c r="AB165" s="109"/>
      <c r="AC165" s="138"/>
      <c r="AD165" s="138"/>
      <c r="AE165" s="138"/>
      <c r="AF165" s="783" t="s">
        <v>561</v>
      </c>
      <c r="AG165" s="972" t="s">
        <v>562</v>
      </c>
      <c r="AH165" s="791" t="s">
        <v>563</v>
      </c>
      <c r="AI165" s="796" t="s">
        <v>562</v>
      </c>
      <c r="AJ165" s="796" t="s">
        <v>563</v>
      </c>
      <c r="AK165" s="845"/>
      <c r="AN165" s="2"/>
      <c r="AO165"/>
    </row>
    <row r="166" spans="4:41" ht="12.75" customHeight="1">
      <c r="D166"/>
      <c r="H166" s="1"/>
      <c r="I166"/>
      <c r="P166"/>
      <c r="R166"/>
      <c r="S166"/>
      <c r="V166"/>
      <c r="AD166"/>
      <c r="AE166"/>
      <c r="AF166" s="784" t="s">
        <v>564</v>
      </c>
      <c r="AG166" s="972" t="s">
        <v>565</v>
      </c>
      <c r="AH166" s="792" t="s">
        <v>565</v>
      </c>
      <c r="AI166" s="797" t="s">
        <v>565</v>
      </c>
      <c r="AJ166" s="797" t="s">
        <v>565</v>
      </c>
      <c r="AK166" s="846"/>
      <c r="AN166" s="2"/>
      <c r="AO166"/>
    </row>
    <row r="167" spans="4:41" ht="12.75" customHeight="1">
      <c r="D167"/>
      <c r="H167" s="1"/>
      <c r="I167"/>
      <c r="P167"/>
      <c r="R167"/>
      <c r="S167"/>
      <c r="V167"/>
      <c r="AD167"/>
      <c r="AE167"/>
      <c r="AF167" s="784" t="s">
        <v>566</v>
      </c>
      <c r="AG167" s="972" t="s">
        <v>567</v>
      </c>
      <c r="AH167" s="792" t="s">
        <v>567</v>
      </c>
      <c r="AI167" s="797" t="s">
        <v>567</v>
      </c>
      <c r="AJ167" s="797" t="s">
        <v>567</v>
      </c>
      <c r="AK167" s="847" t="s">
        <v>568</v>
      </c>
      <c r="AL167" s="844"/>
      <c r="AN167" s="2"/>
      <c r="AO167"/>
    </row>
    <row r="168" spans="1:41" ht="12.75" customHeight="1" thickBot="1">
      <c r="A168" s="109"/>
      <c r="B168" s="109"/>
      <c r="C168" s="109"/>
      <c r="D168" s="126"/>
      <c r="E168" s="126"/>
      <c r="F168" s="126"/>
      <c r="G168" s="126"/>
      <c r="H168" s="113" t="s">
        <v>569</v>
      </c>
      <c r="I168" s="109"/>
      <c r="J168" s="109"/>
      <c r="K168" s="109"/>
      <c r="L168" s="109"/>
      <c r="M168" s="109"/>
      <c r="N168" s="109"/>
      <c r="O168" s="113"/>
      <c r="P168" s="109"/>
      <c r="Q168" s="113"/>
      <c r="R168" s="113"/>
      <c r="S168" s="109"/>
      <c r="T168" s="109"/>
      <c r="U168" s="138" t="s">
        <v>570</v>
      </c>
      <c r="V168" s="109"/>
      <c r="W168" s="109"/>
      <c r="X168" s="109"/>
      <c r="Y168" s="109"/>
      <c r="Z168" s="109"/>
      <c r="AA168" s="109"/>
      <c r="AB168" s="109"/>
      <c r="AC168" s="138"/>
      <c r="AD168" s="138"/>
      <c r="AE168" s="138"/>
      <c r="AF168" s="784" t="s">
        <v>571</v>
      </c>
      <c r="AG168" s="972" t="s">
        <v>572</v>
      </c>
      <c r="AH168" s="792" t="s">
        <v>572</v>
      </c>
      <c r="AI168" s="797" t="s">
        <v>573</v>
      </c>
      <c r="AJ168" s="797" t="s">
        <v>573</v>
      </c>
      <c r="AK168" s="847" t="s">
        <v>574</v>
      </c>
      <c r="AN168" s="2"/>
      <c r="AO168"/>
    </row>
    <row r="169" spans="1:41" ht="12.75" customHeight="1" thickBot="1">
      <c r="A169" s="121"/>
      <c r="B169" s="121"/>
      <c r="C169" s="109"/>
      <c r="D169" s="126"/>
      <c r="E169" s="126"/>
      <c r="F169" s="126"/>
      <c r="G169" s="126"/>
      <c r="H169" s="871"/>
      <c r="I169" s="140"/>
      <c r="J169" s="140"/>
      <c r="K169" s="140" t="s">
        <v>575</v>
      </c>
      <c r="L169" s="140"/>
      <c r="M169" s="140"/>
      <c r="N169" s="140"/>
      <c r="O169" s="140"/>
      <c r="P169" s="140"/>
      <c r="Q169" s="140"/>
      <c r="R169" s="140"/>
      <c r="S169" s="141"/>
      <c r="T169" s="139" t="s">
        <v>576</v>
      </c>
      <c r="U169" s="139"/>
      <c r="V169" s="139"/>
      <c r="W169" s="109"/>
      <c r="X169" s="139"/>
      <c r="Y169" s="139"/>
      <c r="Z169" s="139"/>
      <c r="AA169" s="139"/>
      <c r="AB169" s="139"/>
      <c r="AC169" s="139"/>
      <c r="AD169" s="139"/>
      <c r="AE169" s="728"/>
      <c r="AF169" s="785"/>
      <c r="AG169" s="787"/>
      <c r="AH169" s="793"/>
      <c r="AI169" s="798"/>
      <c r="AJ169" s="798"/>
      <c r="AK169" s="847" t="s">
        <v>577</v>
      </c>
      <c r="AN169" s="2"/>
      <c r="AO169"/>
    </row>
    <row r="170" spans="1:41" ht="12.75" customHeight="1" thickBot="1">
      <c r="A170" s="735" t="s">
        <v>578</v>
      </c>
      <c r="B170" s="735"/>
      <c r="C170" s="142" t="s">
        <v>579</v>
      </c>
      <c r="D170" s="143" t="s">
        <v>580</v>
      </c>
      <c r="E170" s="144" t="s">
        <v>209</v>
      </c>
      <c r="F170" s="145" t="s">
        <v>581</v>
      </c>
      <c r="G170" s="146" t="s">
        <v>582</v>
      </c>
      <c r="H170" s="872" t="s">
        <v>583</v>
      </c>
      <c r="I170" s="147" t="s">
        <v>584</v>
      </c>
      <c r="J170" s="147" t="s">
        <v>585</v>
      </c>
      <c r="K170" s="147" t="s">
        <v>586</v>
      </c>
      <c r="L170" s="147" t="s">
        <v>587</v>
      </c>
      <c r="M170" s="147" t="s">
        <v>588</v>
      </c>
      <c r="N170" s="147" t="s">
        <v>589</v>
      </c>
      <c r="O170" s="147" t="s">
        <v>590</v>
      </c>
      <c r="P170" s="147" t="s">
        <v>591</v>
      </c>
      <c r="Q170" s="147" t="s">
        <v>592</v>
      </c>
      <c r="R170" s="147" t="s">
        <v>593</v>
      </c>
      <c r="S170" s="148" t="s">
        <v>594</v>
      </c>
      <c r="T170" s="149" t="s">
        <v>595</v>
      </c>
      <c r="U170" s="150" t="s">
        <v>596</v>
      </c>
      <c r="V170" s="150" t="s">
        <v>597</v>
      </c>
      <c r="W170" s="150" t="s">
        <v>598</v>
      </c>
      <c r="X170" s="150" t="s">
        <v>599</v>
      </c>
      <c r="Y170" s="150" t="s">
        <v>600</v>
      </c>
      <c r="Z170" s="150" t="s">
        <v>601</v>
      </c>
      <c r="AA170" s="150" t="s">
        <v>602</v>
      </c>
      <c r="AB170" s="150" t="s">
        <v>603</v>
      </c>
      <c r="AC170" s="150" t="s">
        <v>604</v>
      </c>
      <c r="AD170" s="150" t="s">
        <v>605</v>
      </c>
      <c r="AE170" s="151" t="s">
        <v>606</v>
      </c>
      <c r="AF170" s="773" t="s">
        <v>607</v>
      </c>
      <c r="AG170" s="922" t="s">
        <v>299</v>
      </c>
      <c r="AH170" s="786" t="s">
        <v>301</v>
      </c>
      <c r="AI170" s="799" t="s">
        <v>299</v>
      </c>
      <c r="AJ170" s="799" t="s">
        <v>301</v>
      </c>
      <c r="AK170" s="848" t="s">
        <v>608</v>
      </c>
      <c r="AN170" s="2"/>
      <c r="AO170"/>
    </row>
    <row r="171" spans="1:41" ht="12.75" customHeight="1">
      <c r="A171" s="152">
        <v>1</v>
      </c>
      <c r="B171" s="152"/>
      <c r="C171" s="736" t="s">
        <v>609</v>
      </c>
      <c r="D171" s="737" t="s">
        <v>610</v>
      </c>
      <c r="E171" s="738">
        <v>-35</v>
      </c>
      <c r="F171" s="738">
        <v>-8.7</v>
      </c>
      <c r="G171" s="739">
        <v>215</v>
      </c>
      <c r="H171" s="966">
        <v>-17.4</v>
      </c>
      <c r="I171" s="740">
        <v>-16.8</v>
      </c>
      <c r="J171" s="740">
        <v>-10.9</v>
      </c>
      <c r="K171" s="740">
        <v>2.1</v>
      </c>
      <c r="L171" s="740">
        <v>12.4</v>
      </c>
      <c r="M171" s="740">
        <v>17.8</v>
      </c>
      <c r="N171" s="740">
        <v>20.2</v>
      </c>
      <c r="O171" s="740">
        <v>17.8</v>
      </c>
      <c r="P171" s="740">
        <v>11.3</v>
      </c>
      <c r="Q171" s="740">
        <v>2.5</v>
      </c>
      <c r="R171" s="740">
        <v>-7.6</v>
      </c>
      <c r="S171" s="741">
        <v>-14.6</v>
      </c>
      <c r="T171" s="742">
        <v>170</v>
      </c>
      <c r="U171" s="743">
        <v>180</v>
      </c>
      <c r="V171" s="743">
        <v>280</v>
      </c>
      <c r="W171" s="743">
        <v>550</v>
      </c>
      <c r="X171" s="743">
        <v>800</v>
      </c>
      <c r="Y171" s="743">
        <v>1090</v>
      </c>
      <c r="Z171" s="743">
        <v>1270</v>
      </c>
      <c r="AA171" s="743">
        <v>1140</v>
      </c>
      <c r="AB171" s="743">
        <v>810</v>
      </c>
      <c r="AC171" s="743">
        <v>540</v>
      </c>
      <c r="AD171" s="743">
        <v>320</v>
      </c>
      <c r="AE171" s="744">
        <v>210</v>
      </c>
      <c r="AF171" s="800">
        <v>25.3</v>
      </c>
      <c r="AG171" s="789">
        <v>781</v>
      </c>
      <c r="AH171" s="801">
        <v>194</v>
      </c>
      <c r="AI171" s="802">
        <v>852</v>
      </c>
      <c r="AJ171" s="803">
        <v>329</v>
      </c>
      <c r="AK171" s="498">
        <v>8.9</v>
      </c>
      <c r="AL171" s="778" t="s">
        <v>609</v>
      </c>
      <c r="AM171" s="776">
        <v>52</v>
      </c>
      <c r="AN171" s="2"/>
      <c r="AO171"/>
    </row>
    <row r="172" spans="1:41" ht="12.75" customHeight="1">
      <c r="A172" s="152">
        <v>2</v>
      </c>
      <c r="B172" s="152"/>
      <c r="C172" s="153" t="s">
        <v>611</v>
      </c>
      <c r="D172" s="154" t="s">
        <v>610</v>
      </c>
      <c r="E172" s="155">
        <v>-25</v>
      </c>
      <c r="F172" s="155">
        <v>-2.1</v>
      </c>
      <c r="G172" s="156">
        <v>166</v>
      </c>
      <c r="H172" s="967">
        <v>-7.4</v>
      </c>
      <c r="I172" s="157">
        <v>-5.6</v>
      </c>
      <c r="J172" s="157">
        <v>1.8</v>
      </c>
      <c r="K172" s="157">
        <v>10.5</v>
      </c>
      <c r="L172" s="157">
        <v>16.2</v>
      </c>
      <c r="M172" s="157">
        <v>20.6</v>
      </c>
      <c r="N172" s="157">
        <v>23.3</v>
      </c>
      <c r="O172" s="157">
        <v>22.3</v>
      </c>
      <c r="P172" s="157">
        <v>16.9</v>
      </c>
      <c r="Q172" s="157">
        <v>9.5</v>
      </c>
      <c r="R172" s="157">
        <v>0.8</v>
      </c>
      <c r="S172" s="158">
        <v>-4.8</v>
      </c>
      <c r="T172" s="159">
        <v>300</v>
      </c>
      <c r="U172" s="160">
        <v>340</v>
      </c>
      <c r="V172" s="160">
        <v>520</v>
      </c>
      <c r="W172" s="160">
        <v>740</v>
      </c>
      <c r="X172" s="160">
        <v>1020</v>
      </c>
      <c r="Y172" s="160">
        <v>1190</v>
      </c>
      <c r="Z172" s="160">
        <v>1260</v>
      </c>
      <c r="AA172" s="160">
        <v>120</v>
      </c>
      <c r="AB172" s="160">
        <v>830</v>
      </c>
      <c r="AC172" s="160">
        <v>630</v>
      </c>
      <c r="AD172" s="160">
        <v>450</v>
      </c>
      <c r="AE172" s="161">
        <v>330</v>
      </c>
      <c r="AF172" s="804">
        <v>19.4</v>
      </c>
      <c r="AG172" s="789">
        <v>756</v>
      </c>
      <c r="AH172" s="789">
        <v>180</v>
      </c>
      <c r="AI172" s="790">
        <v>894</v>
      </c>
      <c r="AJ172" s="805">
        <v>331</v>
      </c>
      <c r="AK172" s="498">
        <v>1.9</v>
      </c>
      <c r="AL172" s="779" t="s">
        <v>611</v>
      </c>
      <c r="AM172" s="776">
        <v>44</v>
      </c>
      <c r="AN172" s="2"/>
      <c r="AO172"/>
    </row>
    <row r="173" spans="1:41" ht="12.75" customHeight="1">
      <c r="A173" s="152">
        <v>3</v>
      </c>
      <c r="B173" s="152"/>
      <c r="C173" s="154" t="s">
        <v>612</v>
      </c>
      <c r="D173" s="154" t="s">
        <v>613</v>
      </c>
      <c r="E173" s="155">
        <v>-31</v>
      </c>
      <c r="F173" s="155">
        <v>-4.7</v>
      </c>
      <c r="G173" s="745">
        <v>251</v>
      </c>
      <c r="H173" s="967">
        <v>-12.5</v>
      </c>
      <c r="I173" s="157">
        <v>-12</v>
      </c>
      <c r="J173" s="157">
        <v>-18</v>
      </c>
      <c r="K173" s="157">
        <v>-0.6</v>
      </c>
      <c r="L173" s="157">
        <v>5.6</v>
      </c>
      <c r="M173" s="157">
        <v>12.3</v>
      </c>
      <c r="N173" s="157">
        <v>15.6</v>
      </c>
      <c r="O173" s="157">
        <v>13.7</v>
      </c>
      <c r="P173" s="157">
        <v>8.1</v>
      </c>
      <c r="Q173" s="157">
        <v>1.4</v>
      </c>
      <c r="R173" s="157">
        <v>-4.5</v>
      </c>
      <c r="S173" s="158">
        <v>-9.8</v>
      </c>
      <c r="T173" s="746">
        <v>260</v>
      </c>
      <c r="U173" s="155">
        <v>250</v>
      </c>
      <c r="V173" s="155">
        <v>300</v>
      </c>
      <c r="W173" s="155">
        <v>480</v>
      </c>
      <c r="X173" s="155">
        <v>690</v>
      </c>
      <c r="Y173" s="155">
        <v>1080</v>
      </c>
      <c r="Z173" s="155">
        <v>1360</v>
      </c>
      <c r="AA173" s="155">
        <v>1300</v>
      </c>
      <c r="AB173" s="155">
        <v>970</v>
      </c>
      <c r="AC173" s="155">
        <v>650</v>
      </c>
      <c r="AD173" s="155">
        <v>450</v>
      </c>
      <c r="AE173" s="745">
        <v>320</v>
      </c>
      <c r="AF173" s="804">
        <v>19.5</v>
      </c>
      <c r="AG173" s="789">
        <v>798</v>
      </c>
      <c r="AH173" s="789">
        <v>209</v>
      </c>
      <c r="AI173" s="790">
        <v>719</v>
      </c>
      <c r="AJ173" s="805">
        <v>319</v>
      </c>
      <c r="AK173" s="498">
        <v>6.6</v>
      </c>
      <c r="AL173" s="780" t="s">
        <v>612</v>
      </c>
      <c r="AM173" s="776">
        <v>64</v>
      </c>
      <c r="AN173" s="2"/>
      <c r="AO173"/>
    </row>
    <row r="174" spans="1:41" ht="12.75" customHeight="1">
      <c r="A174" s="152">
        <v>4</v>
      </c>
      <c r="B174" s="152"/>
      <c r="C174" s="154" t="s">
        <v>614</v>
      </c>
      <c r="D174" s="154" t="s">
        <v>610</v>
      </c>
      <c r="E174" s="155">
        <v>-23</v>
      </c>
      <c r="F174" s="155">
        <v>-1.6</v>
      </c>
      <c r="G174" s="745">
        <v>172</v>
      </c>
      <c r="H174" s="967">
        <v>-5.8</v>
      </c>
      <c r="I174" s="157">
        <v>0.1</v>
      </c>
      <c r="J174" s="157">
        <v>9.6</v>
      </c>
      <c r="K174" s="157">
        <v>16.8</v>
      </c>
      <c r="L174" s="157">
        <v>22.8</v>
      </c>
      <c r="M174" s="157">
        <v>25.3</v>
      </c>
      <c r="N174" s="157">
        <v>23.7</v>
      </c>
      <c r="O174" s="157">
        <v>17.3</v>
      </c>
      <c r="P174" s="157">
        <v>9.8</v>
      </c>
      <c r="Q174" s="157">
        <v>2.1</v>
      </c>
      <c r="R174" s="157">
        <v>-3.5</v>
      </c>
      <c r="S174" s="158">
        <v>-1.6</v>
      </c>
      <c r="T174" s="159">
        <v>360</v>
      </c>
      <c r="U174" s="160">
        <v>370</v>
      </c>
      <c r="V174" s="160">
        <v>490</v>
      </c>
      <c r="W174" s="160">
        <v>720</v>
      </c>
      <c r="X174" s="160">
        <v>1120</v>
      </c>
      <c r="Y174" s="160">
        <v>1500</v>
      </c>
      <c r="Z174" s="160">
        <v>1730</v>
      </c>
      <c r="AA174" s="160">
        <v>1640</v>
      </c>
      <c r="AB174" s="160">
        <v>1230</v>
      </c>
      <c r="AC174" s="160">
        <v>860</v>
      </c>
      <c r="AD174" s="160">
        <v>610</v>
      </c>
      <c r="AE174" s="161">
        <v>450</v>
      </c>
      <c r="AF174" s="804">
        <v>11.7</v>
      </c>
      <c r="AG174" s="789">
        <v>764</v>
      </c>
      <c r="AH174" s="789">
        <v>184</v>
      </c>
      <c r="AI174" s="790">
        <v>866</v>
      </c>
      <c r="AJ174" s="805">
        <v>328</v>
      </c>
      <c r="AK174" s="498">
        <v>4.7</v>
      </c>
      <c r="AL174" s="780" t="s">
        <v>614</v>
      </c>
      <c r="AM174" s="776">
        <v>48</v>
      </c>
      <c r="AN174" s="2"/>
      <c r="AO174"/>
    </row>
    <row r="175" spans="1:41" ht="12.75" customHeight="1">
      <c r="A175" s="152">
        <v>5</v>
      </c>
      <c r="B175" s="152"/>
      <c r="C175" s="154" t="s">
        <v>615</v>
      </c>
      <c r="D175" s="154" t="s">
        <v>610</v>
      </c>
      <c r="E175" s="155">
        <v>-26</v>
      </c>
      <c r="F175" s="155">
        <v>-3.8</v>
      </c>
      <c r="G175" s="156">
        <v>182</v>
      </c>
      <c r="H175" s="967">
        <v>-10.1</v>
      </c>
      <c r="I175" s="157">
        <v>-9.1</v>
      </c>
      <c r="J175" s="157">
        <v>-2.2</v>
      </c>
      <c r="K175" s="157">
        <v>8.9</v>
      </c>
      <c r="L175" s="157">
        <v>17.8</v>
      </c>
      <c r="M175" s="157">
        <v>23.1</v>
      </c>
      <c r="N175" s="157">
        <v>25.5</v>
      </c>
      <c r="O175" s="157">
        <v>23.7</v>
      </c>
      <c r="P175" s="157">
        <v>16.6</v>
      </c>
      <c r="Q175" s="157">
        <v>8.1</v>
      </c>
      <c r="R175" s="157">
        <v>-0.2</v>
      </c>
      <c r="S175" s="158">
        <v>-6</v>
      </c>
      <c r="T175" s="159">
        <v>300</v>
      </c>
      <c r="U175" s="160">
        <v>330</v>
      </c>
      <c r="V175" s="160">
        <v>450</v>
      </c>
      <c r="W175" s="160">
        <v>710</v>
      </c>
      <c r="X175" s="160">
        <v>1060</v>
      </c>
      <c r="Y175" s="160">
        <v>1350</v>
      </c>
      <c r="Z175" s="160">
        <v>1550</v>
      </c>
      <c r="AA175" s="160">
        <v>1440</v>
      </c>
      <c r="AB175" s="160">
        <v>1080</v>
      </c>
      <c r="AC175" s="160">
        <v>740</v>
      </c>
      <c r="AD175" s="160">
        <v>500</v>
      </c>
      <c r="AE175" s="161">
        <v>370</v>
      </c>
      <c r="AF175" s="804">
        <v>22.3</v>
      </c>
      <c r="AG175" s="789">
        <v>764</v>
      </c>
      <c r="AH175" s="789">
        <v>184</v>
      </c>
      <c r="AI175" s="790">
        <v>866</v>
      </c>
      <c r="AJ175" s="805">
        <v>328</v>
      </c>
      <c r="AK175" s="498">
        <v>7.8</v>
      </c>
      <c r="AL175" s="780" t="s">
        <v>615</v>
      </c>
      <c r="AM175" s="776">
        <v>48</v>
      </c>
      <c r="AN175" s="2"/>
      <c r="AO175"/>
    </row>
    <row r="176" spans="1:41" ht="12.75" customHeight="1">
      <c r="A176" s="152">
        <v>6</v>
      </c>
      <c r="B176" s="152"/>
      <c r="C176" s="154" t="s">
        <v>616</v>
      </c>
      <c r="D176" s="154" t="s">
        <v>610</v>
      </c>
      <c r="E176" s="155">
        <v>-25</v>
      </c>
      <c r="F176" s="155">
        <v>-3.4</v>
      </c>
      <c r="G176" s="156">
        <v>182</v>
      </c>
      <c r="H176" s="967">
        <v>-9.2</v>
      </c>
      <c r="I176" s="157">
        <v>-8.7</v>
      </c>
      <c r="J176" s="157">
        <v>-2.3</v>
      </c>
      <c r="K176" s="157">
        <v>8.3</v>
      </c>
      <c r="L176" s="157">
        <v>16.7</v>
      </c>
      <c r="M176" s="157">
        <v>21.6</v>
      </c>
      <c r="N176" s="157">
        <v>24.2</v>
      </c>
      <c r="O176" s="157">
        <v>22.7</v>
      </c>
      <c r="P176" s="157">
        <v>16.1</v>
      </c>
      <c r="Q176" s="157">
        <v>7.8</v>
      </c>
      <c r="R176" s="157">
        <v>0</v>
      </c>
      <c r="S176" s="158">
        <v>-6.1</v>
      </c>
      <c r="T176" s="159">
        <v>300</v>
      </c>
      <c r="U176" s="160">
        <v>330</v>
      </c>
      <c r="V176" s="160">
        <v>450</v>
      </c>
      <c r="W176" s="160">
        <v>700</v>
      </c>
      <c r="X176" s="160">
        <v>1020</v>
      </c>
      <c r="Y176" s="160">
        <v>1240</v>
      </c>
      <c r="Z176" s="160">
        <v>1380</v>
      </c>
      <c r="AA176" s="160">
        <v>1320</v>
      </c>
      <c r="AB176" s="160">
        <v>1000</v>
      </c>
      <c r="AC176" s="160">
        <v>730</v>
      </c>
      <c r="AD176" s="160">
        <v>540</v>
      </c>
      <c r="AE176" s="161">
        <v>410</v>
      </c>
      <c r="AF176" s="804">
        <v>22</v>
      </c>
      <c r="AG176" s="789">
        <v>764</v>
      </c>
      <c r="AH176" s="789">
        <v>184</v>
      </c>
      <c r="AI176" s="790">
        <v>866</v>
      </c>
      <c r="AJ176" s="805">
        <v>328</v>
      </c>
      <c r="AK176" s="498">
        <v>8.1</v>
      </c>
      <c r="AL176" s="780" t="s">
        <v>616</v>
      </c>
      <c r="AM176" s="776">
        <v>48</v>
      </c>
      <c r="AN176" s="2"/>
      <c r="AO176"/>
    </row>
    <row r="177" spans="1:41" ht="12.75" customHeight="1">
      <c r="A177" s="152">
        <v>7</v>
      </c>
      <c r="B177" s="152"/>
      <c r="C177" s="154" t="s">
        <v>617</v>
      </c>
      <c r="D177" s="154" t="s">
        <v>610</v>
      </c>
      <c r="E177" s="155">
        <v>-26</v>
      </c>
      <c r="F177" s="155">
        <v>-3.4</v>
      </c>
      <c r="G177" s="745">
        <v>199</v>
      </c>
      <c r="H177" s="967">
        <v>-9.3</v>
      </c>
      <c r="I177" s="157">
        <v>-9.2</v>
      </c>
      <c r="J177" s="157">
        <v>-4.1</v>
      </c>
      <c r="K177" s="157">
        <v>5.9</v>
      </c>
      <c r="L177" s="157">
        <v>14</v>
      </c>
      <c r="M177" s="157">
        <v>18</v>
      </c>
      <c r="N177" s="157">
        <v>19.9</v>
      </c>
      <c r="O177" s="157">
        <v>18.7</v>
      </c>
      <c r="P177" s="157">
        <v>12.8</v>
      </c>
      <c r="Q177" s="157">
        <v>5.6</v>
      </c>
      <c r="R177" s="157">
        <v>-1.1</v>
      </c>
      <c r="S177" s="158">
        <v>-6.7</v>
      </c>
      <c r="T177" s="159">
        <v>300</v>
      </c>
      <c r="U177" s="155">
        <v>300</v>
      </c>
      <c r="V177" s="155">
        <v>400</v>
      </c>
      <c r="W177" s="155">
        <v>690</v>
      </c>
      <c r="X177" s="155">
        <v>930</v>
      </c>
      <c r="Y177" s="155">
        <v>1250</v>
      </c>
      <c r="Z177" s="155">
        <v>1490</v>
      </c>
      <c r="AA177" s="155">
        <v>1420</v>
      </c>
      <c r="AB177" s="155">
        <v>1020</v>
      </c>
      <c r="AC177" s="155">
        <v>730</v>
      </c>
      <c r="AD177" s="155">
        <v>510</v>
      </c>
      <c r="AE177" s="745">
        <v>400</v>
      </c>
      <c r="AF177" s="804">
        <v>19.9</v>
      </c>
      <c r="AG177" s="789">
        <v>781</v>
      </c>
      <c r="AH177" s="789">
        <v>194</v>
      </c>
      <c r="AI177" s="790">
        <v>852</v>
      </c>
      <c r="AJ177" s="805">
        <v>329</v>
      </c>
      <c r="AK177" s="498">
        <v>5.4</v>
      </c>
      <c r="AL177" s="780" t="s">
        <v>617</v>
      </c>
      <c r="AM177" s="776">
        <v>52</v>
      </c>
      <c r="AN177" s="2"/>
      <c r="AO177"/>
    </row>
    <row r="178" spans="1:41" ht="12.75" customHeight="1">
      <c r="A178" s="152">
        <v>8</v>
      </c>
      <c r="B178" s="152"/>
      <c r="C178" s="154" t="s">
        <v>618</v>
      </c>
      <c r="D178" s="154" t="s">
        <v>613</v>
      </c>
      <c r="E178" s="155">
        <v>-30</v>
      </c>
      <c r="F178" s="155">
        <v>-4.7</v>
      </c>
      <c r="G178" s="156">
        <v>218</v>
      </c>
      <c r="H178" s="967">
        <v>-12</v>
      </c>
      <c r="I178" s="157">
        <v>-11.6</v>
      </c>
      <c r="J178" s="157">
        <v>-5.6</v>
      </c>
      <c r="K178" s="157">
        <v>3.4</v>
      </c>
      <c r="L178" s="157">
        <v>11.2</v>
      </c>
      <c r="M178" s="157">
        <v>16.3</v>
      </c>
      <c r="N178" s="157">
        <v>18.1</v>
      </c>
      <c r="O178" s="157">
        <v>16.3</v>
      </c>
      <c r="P178" s="157">
        <v>10.7</v>
      </c>
      <c r="Q178" s="157">
        <v>3.2</v>
      </c>
      <c r="R178" s="157">
        <v>-3.6</v>
      </c>
      <c r="S178" s="158">
        <v>-9.2</v>
      </c>
      <c r="T178" s="159">
        <v>260</v>
      </c>
      <c r="U178" s="160">
        <v>250</v>
      </c>
      <c r="V178" s="160">
        <v>340</v>
      </c>
      <c r="W178" s="160">
        <v>590</v>
      </c>
      <c r="X178" s="160">
        <v>860</v>
      </c>
      <c r="Y178" s="160">
        <v>1220</v>
      </c>
      <c r="Z178" s="160">
        <v>1500</v>
      </c>
      <c r="AA178" s="160">
        <v>1400</v>
      </c>
      <c r="AB178" s="160">
        <v>1010</v>
      </c>
      <c r="AC178" s="160">
        <v>670</v>
      </c>
      <c r="AD178" s="160">
        <v>440</v>
      </c>
      <c r="AE178" s="161">
        <v>330</v>
      </c>
      <c r="AF178" s="804">
        <v>17.5</v>
      </c>
      <c r="AG178" s="789">
        <v>786</v>
      </c>
      <c r="AH178" s="789">
        <v>201</v>
      </c>
      <c r="AI178" s="790">
        <v>817</v>
      </c>
      <c r="AJ178" s="805">
        <v>327</v>
      </c>
      <c r="AK178" s="498">
        <v>5.1</v>
      </c>
      <c r="AL178" s="780" t="s">
        <v>619</v>
      </c>
      <c r="AM178" s="776">
        <v>56</v>
      </c>
      <c r="AN178" s="2"/>
      <c r="AO178"/>
    </row>
    <row r="179" spans="1:41" ht="12.75" customHeight="1">
      <c r="A179" s="152">
        <v>9</v>
      </c>
      <c r="B179" s="152"/>
      <c r="C179" s="154" t="s">
        <v>620</v>
      </c>
      <c r="D179" s="154" t="s">
        <v>610</v>
      </c>
      <c r="E179" s="155">
        <v>-35</v>
      </c>
      <c r="F179" s="155">
        <v>-6.4</v>
      </c>
      <c r="G179" s="156">
        <v>228</v>
      </c>
      <c r="H179" s="967">
        <v>-15.3</v>
      </c>
      <c r="I179" s="157">
        <v>-13.4</v>
      </c>
      <c r="J179" s="157">
        <v>-7.3</v>
      </c>
      <c r="K179" s="157">
        <v>2.6</v>
      </c>
      <c r="L179" s="157">
        <v>10.1</v>
      </c>
      <c r="M179" s="157">
        <v>15.6</v>
      </c>
      <c r="N179" s="157">
        <v>17.4</v>
      </c>
      <c r="O179" s="157">
        <v>15.1</v>
      </c>
      <c r="P179" s="157">
        <v>9.2</v>
      </c>
      <c r="Q179" s="157">
        <v>1.3</v>
      </c>
      <c r="R179" s="157">
        <v>-7.1</v>
      </c>
      <c r="S179" s="158">
        <v>-13.3</v>
      </c>
      <c r="T179" s="159">
        <v>170</v>
      </c>
      <c r="U179" s="160">
        <v>170</v>
      </c>
      <c r="V179" s="160">
        <v>250</v>
      </c>
      <c r="W179" s="160">
        <v>520</v>
      </c>
      <c r="X179" s="160">
        <v>740</v>
      </c>
      <c r="Y179" s="160">
        <v>1100</v>
      </c>
      <c r="Z179" s="160">
        <v>1390</v>
      </c>
      <c r="AA179" s="160">
        <v>1290</v>
      </c>
      <c r="AB179" s="160">
        <v>910</v>
      </c>
      <c r="AC179" s="160">
        <v>550</v>
      </c>
      <c r="AD179" s="160">
        <v>280</v>
      </c>
      <c r="AE179" s="161">
        <v>210</v>
      </c>
      <c r="AF179" s="804">
        <v>20.1</v>
      </c>
      <c r="AG179" s="789">
        <v>786</v>
      </c>
      <c r="AH179" s="789">
        <v>201</v>
      </c>
      <c r="AI179" s="790">
        <v>817</v>
      </c>
      <c r="AJ179" s="805">
        <v>327</v>
      </c>
      <c r="AK179" s="498">
        <v>2.9</v>
      </c>
      <c r="AL179" s="780" t="s">
        <v>620</v>
      </c>
      <c r="AM179" s="776">
        <v>56</v>
      </c>
      <c r="AN179" s="2"/>
      <c r="AO179"/>
    </row>
    <row r="180" spans="1:41" ht="12.75" customHeight="1">
      <c r="A180" s="152">
        <v>10</v>
      </c>
      <c r="B180" s="152"/>
      <c r="C180" s="154" t="s">
        <v>621</v>
      </c>
      <c r="D180" s="153" t="s">
        <v>610</v>
      </c>
      <c r="E180" s="155">
        <v>-37</v>
      </c>
      <c r="F180" s="155">
        <v>-8.9</v>
      </c>
      <c r="G180" s="745">
        <v>241</v>
      </c>
      <c r="H180" s="967">
        <v>-20.9</v>
      </c>
      <c r="I180" s="157">
        <v>-18.3</v>
      </c>
      <c r="J180" s="157">
        <v>-9.7</v>
      </c>
      <c r="K180" s="157">
        <v>1</v>
      </c>
      <c r="L180" s="157">
        <v>8.4</v>
      </c>
      <c r="M180" s="157">
        <v>14.8</v>
      </c>
      <c r="N180" s="157">
        <v>17.6</v>
      </c>
      <c r="O180" s="157">
        <v>15</v>
      </c>
      <c r="P180" s="157">
        <v>8.1</v>
      </c>
      <c r="Q180" s="157">
        <v>0.5</v>
      </c>
      <c r="R180" s="157">
        <v>-10.8</v>
      </c>
      <c r="S180" s="158">
        <v>-18.7</v>
      </c>
      <c r="T180" s="746">
        <v>110</v>
      </c>
      <c r="U180" s="155">
        <v>120</v>
      </c>
      <c r="V180" s="155">
        <v>230</v>
      </c>
      <c r="W180" s="155">
        <v>400</v>
      </c>
      <c r="X180" s="155">
        <v>620</v>
      </c>
      <c r="Y180" s="155">
        <v>1120</v>
      </c>
      <c r="Z180" s="155">
        <v>1490</v>
      </c>
      <c r="AA180" s="155">
        <v>1340</v>
      </c>
      <c r="AB180" s="155">
        <v>840</v>
      </c>
      <c r="AC180" s="155">
        <v>500</v>
      </c>
      <c r="AD180" s="155">
        <v>250</v>
      </c>
      <c r="AE180" s="745">
        <v>150</v>
      </c>
      <c r="AF180" s="804">
        <v>25.2</v>
      </c>
      <c r="AG180" s="789">
        <v>781</v>
      </c>
      <c r="AH180" s="789">
        <v>194</v>
      </c>
      <c r="AI180" s="790">
        <v>852</v>
      </c>
      <c r="AJ180" s="805">
        <v>329</v>
      </c>
      <c r="AK180" s="498">
        <v>2.9</v>
      </c>
      <c r="AL180" s="780" t="s">
        <v>621</v>
      </c>
      <c r="AM180" s="776">
        <v>52</v>
      </c>
      <c r="AN180" s="2"/>
      <c r="AO180"/>
    </row>
    <row r="181" spans="1:41" ht="12.75" customHeight="1">
      <c r="A181" s="152">
        <v>11</v>
      </c>
      <c r="B181" s="152"/>
      <c r="C181" s="747" t="s">
        <v>622</v>
      </c>
      <c r="D181" s="154" t="s">
        <v>613</v>
      </c>
      <c r="E181" s="155">
        <v>-32</v>
      </c>
      <c r="F181" s="155">
        <v>-5.7</v>
      </c>
      <c r="G181" s="745">
        <v>218</v>
      </c>
      <c r="H181" s="967">
        <v>-13.5</v>
      </c>
      <c r="I181" s="157">
        <v>-12.9</v>
      </c>
      <c r="J181" s="157">
        <v>-7</v>
      </c>
      <c r="K181" s="157">
        <v>3.3</v>
      </c>
      <c r="L181" s="157">
        <v>12.1</v>
      </c>
      <c r="M181" s="157">
        <v>16.9</v>
      </c>
      <c r="N181" s="157">
        <v>19</v>
      </c>
      <c r="O181" s="157">
        <v>17.1</v>
      </c>
      <c r="P181" s="157">
        <v>10.7</v>
      </c>
      <c r="Q181" s="157">
        <v>3.2</v>
      </c>
      <c r="R181" s="157">
        <v>-4.7</v>
      </c>
      <c r="S181" s="158">
        <v>-11</v>
      </c>
      <c r="T181" s="746">
        <v>220</v>
      </c>
      <c r="U181" s="155">
        <v>220</v>
      </c>
      <c r="V181" s="155">
        <v>310</v>
      </c>
      <c r="W181" s="155">
        <v>600</v>
      </c>
      <c r="X181" s="155">
        <v>870</v>
      </c>
      <c r="Y181" s="155">
        <v>1230</v>
      </c>
      <c r="Z181" s="155">
        <v>1490</v>
      </c>
      <c r="AA181" s="155">
        <v>1380</v>
      </c>
      <c r="AB181" s="155">
        <v>990</v>
      </c>
      <c r="AC181" s="155">
        <v>650</v>
      </c>
      <c r="AD181" s="155">
        <v>420</v>
      </c>
      <c r="AE181" s="745">
        <v>280</v>
      </c>
      <c r="AF181" s="804"/>
      <c r="AG181" s="789">
        <v>786</v>
      </c>
      <c r="AH181" s="789">
        <v>201</v>
      </c>
      <c r="AI181" s="790">
        <v>817</v>
      </c>
      <c r="AJ181" s="805">
        <v>327</v>
      </c>
      <c r="AK181" s="498">
        <v>4.8</v>
      </c>
      <c r="AL181" s="781" t="s">
        <v>623</v>
      </c>
      <c r="AM181" s="776">
        <v>56</v>
      </c>
      <c r="AN181" s="2"/>
      <c r="AO181"/>
    </row>
    <row r="182" spans="1:41" ht="12.75" customHeight="1">
      <c r="A182" s="152">
        <v>12</v>
      </c>
      <c r="B182" s="152"/>
      <c r="C182" s="154" t="s">
        <v>624</v>
      </c>
      <c r="D182" s="154" t="s">
        <v>613</v>
      </c>
      <c r="E182" s="155">
        <v>-27</v>
      </c>
      <c r="F182" s="155">
        <f>--3.5</f>
        <v>3.5</v>
      </c>
      <c r="G182" s="745">
        <v>214</v>
      </c>
      <c r="H182" s="967">
        <v>-10</v>
      </c>
      <c r="I182" s="157">
        <v>-9.5</v>
      </c>
      <c r="J182" s="157">
        <v>-4.9</v>
      </c>
      <c r="K182" s="157">
        <v>3.8</v>
      </c>
      <c r="L182" s="157">
        <v>11.9</v>
      </c>
      <c r="M182" s="157">
        <v>15.5</v>
      </c>
      <c r="N182" s="157">
        <v>17.6</v>
      </c>
      <c r="O182" s="157">
        <v>16</v>
      </c>
      <c r="P182" s="157">
        <v>10.5</v>
      </c>
      <c r="Q182" s="157">
        <v>4.2</v>
      </c>
      <c r="R182" s="157">
        <v>-2</v>
      </c>
      <c r="S182" s="158">
        <v>-7.4</v>
      </c>
      <c r="T182" s="746">
        <v>290</v>
      </c>
      <c r="U182" s="155">
        <v>290</v>
      </c>
      <c r="V182" s="155">
        <v>380</v>
      </c>
      <c r="W182" s="155">
        <v>630</v>
      </c>
      <c r="X182" s="155">
        <v>950</v>
      </c>
      <c r="Y182" s="155">
        <v>1320</v>
      </c>
      <c r="Z182" s="155">
        <v>1530</v>
      </c>
      <c r="AA182" s="155">
        <v>1480</v>
      </c>
      <c r="AB182" s="155">
        <v>1060</v>
      </c>
      <c r="AC182" s="155">
        <v>700</v>
      </c>
      <c r="AD182" s="155">
        <v>490</v>
      </c>
      <c r="AE182" s="745">
        <v>370</v>
      </c>
      <c r="AF182" s="804">
        <v>25.3</v>
      </c>
      <c r="AG182" s="789">
        <v>786</v>
      </c>
      <c r="AH182" s="789">
        <v>201</v>
      </c>
      <c r="AI182" s="790">
        <v>817</v>
      </c>
      <c r="AJ182" s="805">
        <v>327</v>
      </c>
      <c r="AK182" s="498">
        <v>5</v>
      </c>
      <c r="AL182" s="780" t="s">
        <v>624</v>
      </c>
      <c r="AM182" s="776">
        <v>56</v>
      </c>
      <c r="AN182" s="2"/>
      <c r="AO182"/>
    </row>
    <row r="183" spans="1:41" ht="12.75" customHeight="1">
      <c r="A183" s="152">
        <v>13</v>
      </c>
      <c r="B183" s="152"/>
      <c r="C183" s="154" t="s">
        <v>625</v>
      </c>
      <c r="D183" s="154" t="s">
        <v>613</v>
      </c>
      <c r="E183" s="155">
        <v>-18</v>
      </c>
      <c r="F183" s="155">
        <v>0.6</v>
      </c>
      <c r="G183" s="745">
        <v>195</v>
      </c>
      <c r="H183" s="967">
        <v>-5.1</v>
      </c>
      <c r="I183" s="157">
        <v>-2.7</v>
      </c>
      <c r="J183" s="157">
        <v>-0.1</v>
      </c>
      <c r="K183" s="157">
        <v>6.2</v>
      </c>
      <c r="L183" s="157">
        <v>11.5</v>
      </c>
      <c r="M183" s="157">
        <v>15</v>
      </c>
      <c r="N183" s="157">
        <v>17.4</v>
      </c>
      <c r="O183" s="157">
        <v>16.6</v>
      </c>
      <c r="P183" s="157">
        <v>12.8</v>
      </c>
      <c r="Q183" s="157">
        <v>7</v>
      </c>
      <c r="R183" s="157">
        <v>2.6</v>
      </c>
      <c r="S183" s="158">
        <v>-1.2</v>
      </c>
      <c r="T183" s="746">
        <v>460</v>
      </c>
      <c r="U183" s="155">
        <v>440</v>
      </c>
      <c r="V183" s="155">
        <v>490</v>
      </c>
      <c r="W183" s="155">
        <v>730</v>
      </c>
      <c r="X183" s="155">
        <v>970</v>
      </c>
      <c r="Y183" s="155">
        <v>1280</v>
      </c>
      <c r="Z183" s="155">
        <v>1500</v>
      </c>
      <c r="AA183" s="155">
        <v>1500</v>
      </c>
      <c r="AB183" s="155">
        <v>1250</v>
      </c>
      <c r="AC183" s="155">
        <v>930</v>
      </c>
      <c r="AD183" s="155">
        <v>690</v>
      </c>
      <c r="AE183" s="745">
        <v>560</v>
      </c>
      <c r="AF183" s="804">
        <v>18.1</v>
      </c>
      <c r="AG183" s="789">
        <v>786</v>
      </c>
      <c r="AH183" s="789">
        <v>201</v>
      </c>
      <c r="AI183" s="790">
        <v>817</v>
      </c>
      <c r="AJ183" s="805">
        <v>327</v>
      </c>
      <c r="AK183" s="498">
        <v>6</v>
      </c>
      <c r="AL183" s="780" t="s">
        <v>625</v>
      </c>
      <c r="AM183" s="776">
        <v>56</v>
      </c>
      <c r="AN183" s="2"/>
      <c r="AO183"/>
    </row>
    <row r="184" spans="1:41" ht="12.75" customHeight="1">
      <c r="A184" s="152">
        <v>14</v>
      </c>
      <c r="B184" s="152"/>
      <c r="C184" s="153" t="s">
        <v>626</v>
      </c>
      <c r="D184" s="154" t="s">
        <v>613</v>
      </c>
      <c r="E184" s="155">
        <v>-22</v>
      </c>
      <c r="F184" s="155">
        <v>-1.1</v>
      </c>
      <c r="G184" s="156">
        <v>187</v>
      </c>
      <c r="H184" s="967">
        <v>-5.9</v>
      </c>
      <c r="I184" s="157">
        <v>-5.2</v>
      </c>
      <c r="J184" s="157">
        <v>-0.4</v>
      </c>
      <c r="K184" s="157">
        <v>7.5</v>
      </c>
      <c r="L184" s="157">
        <v>14.7</v>
      </c>
      <c r="M184" s="157">
        <v>17.8</v>
      </c>
      <c r="N184" s="157">
        <v>19.8</v>
      </c>
      <c r="O184" s="157">
        <v>18.7</v>
      </c>
      <c r="P184" s="157">
        <v>13.9</v>
      </c>
      <c r="Q184" s="157">
        <v>7.5</v>
      </c>
      <c r="R184" s="157">
        <v>1.2</v>
      </c>
      <c r="S184" s="158">
        <v>-3.5</v>
      </c>
      <c r="T184" s="159">
        <v>360</v>
      </c>
      <c r="U184" s="160">
        <v>370</v>
      </c>
      <c r="V184" s="160">
        <v>460</v>
      </c>
      <c r="W184" s="160">
        <v>710</v>
      </c>
      <c r="X184" s="160">
        <v>970</v>
      </c>
      <c r="Y184" s="160">
        <v>1280</v>
      </c>
      <c r="Z184" s="160">
        <v>1490</v>
      </c>
      <c r="AA184" s="160">
        <v>1440</v>
      </c>
      <c r="AB184" s="160">
        <v>1060</v>
      </c>
      <c r="AC184" s="160">
        <v>770</v>
      </c>
      <c r="AD184" s="160">
        <v>600</v>
      </c>
      <c r="AE184" s="161">
        <v>440</v>
      </c>
      <c r="AF184" s="804">
        <v>18.4</v>
      </c>
      <c r="AG184" s="789">
        <v>781</v>
      </c>
      <c r="AH184" s="789">
        <v>194</v>
      </c>
      <c r="AI184" s="790">
        <v>852</v>
      </c>
      <c r="AJ184" s="805">
        <v>329</v>
      </c>
      <c r="AK184" s="498">
        <v>4.3</v>
      </c>
      <c r="AL184" s="779" t="s">
        <v>626</v>
      </c>
      <c r="AM184" s="776">
        <v>52</v>
      </c>
      <c r="AN184" s="2"/>
      <c r="AO184"/>
    </row>
    <row r="185" spans="1:41" ht="12.75" customHeight="1">
      <c r="A185" s="152">
        <v>15</v>
      </c>
      <c r="B185" s="152"/>
      <c r="C185" s="154" t="s">
        <v>627</v>
      </c>
      <c r="D185" s="154" t="s">
        <v>613</v>
      </c>
      <c r="E185" s="155">
        <v>-35</v>
      </c>
      <c r="F185" s="155">
        <v>-5.8</v>
      </c>
      <c r="G185" s="745">
        <v>231</v>
      </c>
      <c r="H185" s="967">
        <v>-14.2</v>
      </c>
      <c r="I185" s="157">
        <v>-13.1</v>
      </c>
      <c r="J185" s="157">
        <v>-7.1</v>
      </c>
      <c r="K185" s="157">
        <v>2</v>
      </c>
      <c r="L185" s="157">
        <v>9.8</v>
      </c>
      <c r="M185" s="157">
        <v>15.6</v>
      </c>
      <c r="N185" s="157">
        <v>17.8</v>
      </c>
      <c r="O185" s="157">
        <v>15.4</v>
      </c>
      <c r="P185" s="157">
        <v>9</v>
      </c>
      <c r="Q185" s="157">
        <v>1.5</v>
      </c>
      <c r="R185" s="157">
        <v>-6</v>
      </c>
      <c r="S185" s="158">
        <v>-12</v>
      </c>
      <c r="T185" s="746">
        <v>220</v>
      </c>
      <c r="U185" s="155">
        <v>220</v>
      </c>
      <c r="V185" s="155">
        <v>310</v>
      </c>
      <c r="W185" s="155">
        <v>530</v>
      </c>
      <c r="X185" s="155">
        <v>780</v>
      </c>
      <c r="Y185" s="155">
        <v>1130</v>
      </c>
      <c r="Z185" s="155">
        <v>1400</v>
      </c>
      <c r="AA185" s="155">
        <v>1300</v>
      </c>
      <c r="AB185" s="155">
        <v>960</v>
      </c>
      <c r="AC185" s="155">
        <v>620</v>
      </c>
      <c r="AD185" s="155">
        <v>390</v>
      </c>
      <c r="AE185" s="745">
        <v>260</v>
      </c>
      <c r="AF185" s="804">
        <v>17.3</v>
      </c>
      <c r="AG185" s="789">
        <v>781</v>
      </c>
      <c r="AH185" s="789">
        <v>206</v>
      </c>
      <c r="AI185" s="790">
        <v>738</v>
      </c>
      <c r="AJ185" s="805">
        <v>319</v>
      </c>
      <c r="AK185" s="498">
        <v>5.3</v>
      </c>
      <c r="AL185" s="780" t="s">
        <v>627</v>
      </c>
      <c r="AM185" s="776">
        <v>60</v>
      </c>
      <c r="AN185" s="2"/>
      <c r="AO185"/>
    </row>
    <row r="186" spans="1:41" ht="12.75" customHeight="1">
      <c r="A186" s="152">
        <v>16</v>
      </c>
      <c r="B186" s="152"/>
      <c r="C186" s="153" t="s">
        <v>628</v>
      </c>
      <c r="D186" s="154" t="s">
        <v>610</v>
      </c>
      <c r="E186" s="155">
        <v>-19</v>
      </c>
      <c r="F186" s="155">
        <v>1.5</v>
      </c>
      <c r="G186" s="156">
        <v>152</v>
      </c>
      <c r="H186" s="967">
        <v>-5.1</v>
      </c>
      <c r="I186" s="157">
        <v>-0.9</v>
      </c>
      <c r="J186" s="157">
        <v>4.2</v>
      </c>
      <c r="K186" s="157">
        <v>10.9</v>
      </c>
      <c r="L186" s="157">
        <v>16.8</v>
      </c>
      <c r="M186" s="157">
        <v>20.4</v>
      </c>
      <c r="N186" s="157">
        <v>23.2</v>
      </c>
      <c r="O186" s="157">
        <v>22.7</v>
      </c>
      <c r="P186" s="157">
        <v>17.4</v>
      </c>
      <c r="Q186" s="157">
        <v>11.6</v>
      </c>
      <c r="R186" s="157">
        <v>5.1</v>
      </c>
      <c r="S186" s="158">
        <v>0.4</v>
      </c>
      <c r="T186" s="159">
        <v>500</v>
      </c>
      <c r="U186" s="160">
        <v>530</v>
      </c>
      <c r="V186" s="160">
        <v>600</v>
      </c>
      <c r="W186" s="160">
        <v>880</v>
      </c>
      <c r="X186" s="160">
        <v>1270</v>
      </c>
      <c r="Y186" s="160">
        <v>1640</v>
      </c>
      <c r="Z186" s="160">
        <v>1800</v>
      </c>
      <c r="AA186" s="160">
        <v>1720</v>
      </c>
      <c r="AB186" s="160">
        <v>1330</v>
      </c>
      <c r="AC186" s="160">
        <v>1000</v>
      </c>
      <c r="AD186" s="160">
        <v>790</v>
      </c>
      <c r="AE186" s="161">
        <v>600</v>
      </c>
      <c r="AF186" s="804">
        <v>22.5</v>
      </c>
      <c r="AG186" s="789">
        <v>756</v>
      </c>
      <c r="AH186" s="789">
        <v>180</v>
      </c>
      <c r="AI186" s="790">
        <v>894</v>
      </c>
      <c r="AJ186" s="805">
        <v>331</v>
      </c>
      <c r="AK186" s="498">
        <v>3.6</v>
      </c>
      <c r="AL186" s="779" t="s">
        <v>628</v>
      </c>
      <c r="AM186" s="776">
        <v>44</v>
      </c>
      <c r="AN186" s="2"/>
      <c r="AO186"/>
    </row>
    <row r="187" spans="1:41" ht="12.75" customHeight="1">
      <c r="A187" s="152">
        <v>17</v>
      </c>
      <c r="B187" s="152"/>
      <c r="C187" s="154" t="s">
        <v>629</v>
      </c>
      <c r="D187" s="153" t="s">
        <v>610</v>
      </c>
      <c r="E187" s="107">
        <v>-40</v>
      </c>
      <c r="F187" s="107">
        <v>-7.2</v>
      </c>
      <c r="G187" s="748">
        <v>235</v>
      </c>
      <c r="H187" s="968">
        <v>-17.1</v>
      </c>
      <c r="I187" s="107">
        <v>-14.7</v>
      </c>
      <c r="J187" s="107">
        <v>-7.6</v>
      </c>
      <c r="K187" s="107">
        <v>1.3</v>
      </c>
      <c r="L187" s="107">
        <v>8.8</v>
      </c>
      <c r="M187" s="107">
        <v>15.8</v>
      </c>
      <c r="N187" s="107">
        <v>18.7</v>
      </c>
      <c r="O187" s="107">
        <v>15.5</v>
      </c>
      <c r="P187" s="107">
        <v>9.1</v>
      </c>
      <c r="Q187" s="107">
        <v>1.4</v>
      </c>
      <c r="R187" s="107">
        <v>-9.2</v>
      </c>
      <c r="S187" s="748">
        <v>-15.9</v>
      </c>
      <c r="T187" s="154">
        <v>140</v>
      </c>
      <c r="U187" s="107">
        <v>150</v>
      </c>
      <c r="V187" s="107">
        <v>240</v>
      </c>
      <c r="W187" s="107">
        <v>400</v>
      </c>
      <c r="X187" s="107">
        <v>630</v>
      </c>
      <c r="Y187" s="107">
        <v>1140</v>
      </c>
      <c r="Z187" s="107">
        <v>1500</v>
      </c>
      <c r="AA187" s="107">
        <v>1320</v>
      </c>
      <c r="AB187" s="107">
        <v>860</v>
      </c>
      <c r="AC187" s="107">
        <v>480</v>
      </c>
      <c r="AD187" s="107">
        <v>240</v>
      </c>
      <c r="AE187" s="748">
        <v>160</v>
      </c>
      <c r="AF187" s="804">
        <v>19.8</v>
      </c>
      <c r="AG187" s="789">
        <v>786</v>
      </c>
      <c r="AH187" s="789">
        <v>201</v>
      </c>
      <c r="AI187" s="790">
        <v>817</v>
      </c>
      <c r="AJ187" s="805">
        <v>327</v>
      </c>
      <c r="AK187" s="498">
        <v>6.2</v>
      </c>
      <c r="AL187" s="780" t="s">
        <v>629</v>
      </c>
      <c r="AM187" s="776">
        <v>56</v>
      </c>
      <c r="AN187" s="2"/>
      <c r="AO187"/>
    </row>
    <row r="188" spans="1:41" ht="12.75" customHeight="1">
      <c r="A188" s="152">
        <v>18</v>
      </c>
      <c r="B188" s="152"/>
      <c r="C188" s="153" t="s">
        <v>630</v>
      </c>
      <c r="D188" s="154" t="s">
        <v>613</v>
      </c>
      <c r="E188" s="155">
        <v>-26</v>
      </c>
      <c r="F188" s="155">
        <v>-3.6</v>
      </c>
      <c r="G188" s="156">
        <v>213</v>
      </c>
      <c r="H188" s="967">
        <v>-10.2</v>
      </c>
      <c r="I188" s="157">
        <v>-9.2</v>
      </c>
      <c r="J188" s="157">
        <v>-4.7</v>
      </c>
      <c r="K188" s="157">
        <v>4</v>
      </c>
      <c r="L188" s="157">
        <v>11.6</v>
      </c>
      <c r="M188" s="157">
        <v>15.8</v>
      </c>
      <c r="N188" s="157">
        <v>18.1</v>
      </c>
      <c r="O188" s="157">
        <v>16.2</v>
      </c>
      <c r="P188" s="157">
        <v>10.6</v>
      </c>
      <c r="Q188" s="157">
        <v>4.2</v>
      </c>
      <c r="R188" s="157">
        <v>-2.2</v>
      </c>
      <c r="S188" s="158">
        <v>-7.6</v>
      </c>
      <c r="T188" s="159">
        <v>280</v>
      </c>
      <c r="U188" s="160">
        <v>290</v>
      </c>
      <c r="V188" s="160">
        <v>370</v>
      </c>
      <c r="W188" s="160">
        <v>600</v>
      </c>
      <c r="X188" s="160">
        <v>890</v>
      </c>
      <c r="Y188" s="160">
        <v>1240</v>
      </c>
      <c r="Z188" s="160">
        <v>1470</v>
      </c>
      <c r="AA188" s="160">
        <v>1420</v>
      </c>
      <c r="AB188" s="160">
        <v>1040</v>
      </c>
      <c r="AC188" s="160">
        <v>690</v>
      </c>
      <c r="AD188" s="160">
        <v>480</v>
      </c>
      <c r="AE188" s="161">
        <v>360</v>
      </c>
      <c r="AF188" s="804">
        <v>18.5</v>
      </c>
      <c r="AG188" s="789">
        <v>786</v>
      </c>
      <c r="AH188" s="789">
        <v>201</v>
      </c>
      <c r="AI188" s="790">
        <v>817</v>
      </c>
      <c r="AJ188" s="805">
        <v>327</v>
      </c>
      <c r="AK188" s="498">
        <v>4.9</v>
      </c>
      <c r="AL188" s="779" t="s">
        <v>630</v>
      </c>
      <c r="AM188" s="776">
        <v>56</v>
      </c>
      <c r="AN188" s="2"/>
      <c r="AO188"/>
    </row>
    <row r="189" spans="1:41" ht="12.75" customHeight="1">
      <c r="A189" s="152">
        <v>19</v>
      </c>
      <c r="B189" s="152"/>
      <c r="C189" s="154" t="s">
        <v>631</v>
      </c>
      <c r="D189" s="154" t="s">
        <v>613</v>
      </c>
      <c r="E189" s="107">
        <v>-27</v>
      </c>
      <c r="F189" s="107">
        <v>-3.3</v>
      </c>
      <c r="G189" s="748">
        <v>281</v>
      </c>
      <c r="H189" s="968">
        <v>-10</v>
      </c>
      <c r="I189" s="107">
        <v>-10.1</v>
      </c>
      <c r="J189" s="107">
        <v>-7</v>
      </c>
      <c r="K189" s="107">
        <v>-1.7</v>
      </c>
      <c r="L189" s="107">
        <v>3.1</v>
      </c>
      <c r="M189" s="107">
        <v>8.4</v>
      </c>
      <c r="N189" s="107">
        <v>12.4</v>
      </c>
      <c r="O189" s="107">
        <v>10.8</v>
      </c>
      <c r="P189" s="107">
        <v>6.3</v>
      </c>
      <c r="Q189" s="107">
        <v>0.2</v>
      </c>
      <c r="R189" s="107">
        <v>-4.7</v>
      </c>
      <c r="S189" s="748">
        <v>-8.3</v>
      </c>
      <c r="T189" s="154">
        <v>250</v>
      </c>
      <c r="U189" s="107">
        <v>260</v>
      </c>
      <c r="V189" s="107">
        <v>300</v>
      </c>
      <c r="W189" s="107">
        <v>430</v>
      </c>
      <c r="X189" s="107">
        <v>550</v>
      </c>
      <c r="Y189" s="107">
        <v>800</v>
      </c>
      <c r="Z189" s="107">
        <v>1030</v>
      </c>
      <c r="AA189" s="107">
        <v>1060</v>
      </c>
      <c r="AB189" s="107">
        <v>810</v>
      </c>
      <c r="AC189" s="107">
        <v>570</v>
      </c>
      <c r="AD189" s="107">
        <v>430</v>
      </c>
      <c r="AE189" s="748">
        <v>330</v>
      </c>
      <c r="AF189" s="804">
        <v>21.2</v>
      </c>
      <c r="AG189" s="789">
        <v>812</v>
      </c>
      <c r="AH189" s="789">
        <v>239</v>
      </c>
      <c r="AI189" s="790">
        <v>698</v>
      </c>
      <c r="AJ189" s="805">
        <v>332</v>
      </c>
      <c r="AK189" s="498">
        <v>9.4</v>
      </c>
      <c r="AL189" s="780" t="s">
        <v>631</v>
      </c>
      <c r="AM189" s="776">
        <v>68</v>
      </c>
      <c r="AN189" s="2"/>
      <c r="AO189"/>
    </row>
    <row r="190" spans="1:41" ht="12.75" customHeight="1">
      <c r="A190" s="152">
        <v>20</v>
      </c>
      <c r="B190" s="152"/>
      <c r="C190" s="153" t="s">
        <v>632</v>
      </c>
      <c r="D190" s="154" t="s">
        <v>613</v>
      </c>
      <c r="E190" s="155">
        <v>-30</v>
      </c>
      <c r="F190" s="157">
        <v>-4.7</v>
      </c>
      <c r="G190" s="156">
        <v>218</v>
      </c>
      <c r="H190" s="967">
        <v>-12</v>
      </c>
      <c r="I190" s="157">
        <v>-11.6</v>
      </c>
      <c r="J190" s="157">
        <v>-5.6</v>
      </c>
      <c r="K190" s="157">
        <v>3.4</v>
      </c>
      <c r="L190" s="157">
        <v>11.2</v>
      </c>
      <c r="M190" s="157">
        <v>16.3</v>
      </c>
      <c r="N190" s="157">
        <v>18.1</v>
      </c>
      <c r="O190" s="157">
        <v>16.3</v>
      </c>
      <c r="P190" s="157">
        <v>10.7</v>
      </c>
      <c r="Q190" s="157">
        <v>3.2</v>
      </c>
      <c r="R190" s="157">
        <v>-3.6</v>
      </c>
      <c r="S190" s="158">
        <v>-9.2</v>
      </c>
      <c r="T190" s="159">
        <v>260</v>
      </c>
      <c r="U190" s="160">
        <v>250</v>
      </c>
      <c r="V190" s="160">
        <v>340</v>
      </c>
      <c r="W190" s="160">
        <v>590</v>
      </c>
      <c r="X190" s="160">
        <v>860</v>
      </c>
      <c r="Y190" s="160">
        <v>1220</v>
      </c>
      <c r="Z190" s="160">
        <v>1500</v>
      </c>
      <c r="AA190" s="160">
        <v>1400</v>
      </c>
      <c r="AB190" s="160">
        <v>1010</v>
      </c>
      <c r="AC190" s="160">
        <v>670</v>
      </c>
      <c r="AD190" s="160">
        <v>440</v>
      </c>
      <c r="AE190" s="161">
        <v>330</v>
      </c>
      <c r="AF190" s="804"/>
      <c r="AG190" s="789">
        <v>786</v>
      </c>
      <c r="AH190" s="789">
        <v>201</v>
      </c>
      <c r="AI190" s="790">
        <v>817</v>
      </c>
      <c r="AJ190" s="805">
        <v>327</v>
      </c>
      <c r="AK190" s="498">
        <v>6.6</v>
      </c>
      <c r="AL190" s="779" t="s">
        <v>632</v>
      </c>
      <c r="AM190" s="776">
        <v>56</v>
      </c>
      <c r="AN190" s="2"/>
      <c r="AO190"/>
    </row>
    <row r="191" spans="1:41" ht="12.75" customHeight="1">
      <c r="A191" s="152">
        <v>21</v>
      </c>
      <c r="B191" s="152"/>
      <c r="C191" s="154" t="s">
        <v>633</v>
      </c>
      <c r="D191" s="154" t="s">
        <v>610</v>
      </c>
      <c r="E191" s="107">
        <v>-39</v>
      </c>
      <c r="F191" s="107">
        <v>-9.1</v>
      </c>
      <c r="G191" s="748">
        <v>227</v>
      </c>
      <c r="H191" s="968">
        <v>-19</v>
      </c>
      <c r="I191" s="107">
        <v>-17.2</v>
      </c>
      <c r="J191" s="107">
        <v>-10.7</v>
      </c>
      <c r="K191" s="107">
        <v>-0.1</v>
      </c>
      <c r="L191" s="107">
        <v>10</v>
      </c>
      <c r="M191" s="107">
        <v>16.3</v>
      </c>
      <c r="N191" s="107">
        <v>18.7</v>
      </c>
      <c r="O191" s="107">
        <v>16</v>
      </c>
      <c r="P191" s="107">
        <v>9.9</v>
      </c>
      <c r="Q191" s="107">
        <v>1.5</v>
      </c>
      <c r="R191" s="107">
        <v>-9.7</v>
      </c>
      <c r="S191" s="748">
        <v>-16.9</v>
      </c>
      <c r="T191" s="154">
        <v>140</v>
      </c>
      <c r="U191" s="107">
        <v>160</v>
      </c>
      <c r="V191" s="107">
        <v>250</v>
      </c>
      <c r="W191" s="107">
        <v>500</v>
      </c>
      <c r="X191" s="107">
        <v>750</v>
      </c>
      <c r="Y191" s="107">
        <v>1240</v>
      </c>
      <c r="Z191" s="107">
        <v>1570</v>
      </c>
      <c r="AA191" s="107">
        <v>1360</v>
      </c>
      <c r="AB191" s="107">
        <v>930</v>
      </c>
      <c r="AC191" s="107">
        <v>560</v>
      </c>
      <c r="AD191" s="107">
        <v>280</v>
      </c>
      <c r="AE191" s="748">
        <v>170</v>
      </c>
      <c r="AF191" s="804">
        <v>22.5</v>
      </c>
      <c r="AG191" s="789">
        <v>786</v>
      </c>
      <c r="AH191" s="789">
        <v>201</v>
      </c>
      <c r="AI191" s="790">
        <v>817</v>
      </c>
      <c r="AJ191" s="805">
        <v>327</v>
      </c>
      <c r="AK191" s="498">
        <v>5.7</v>
      </c>
      <c r="AL191" s="780" t="s">
        <v>633</v>
      </c>
      <c r="AM191" s="776">
        <v>56</v>
      </c>
      <c r="AN191" s="2"/>
      <c r="AO191"/>
    </row>
    <row r="192" spans="1:41" ht="12.75" customHeight="1">
      <c r="A192" s="152">
        <v>22</v>
      </c>
      <c r="B192" s="152"/>
      <c r="C192" s="154" t="s">
        <v>634</v>
      </c>
      <c r="D192" s="154" t="s">
        <v>613</v>
      </c>
      <c r="E192" s="107">
        <v>-37</v>
      </c>
      <c r="F192" s="107">
        <v>-9.5</v>
      </c>
      <c r="G192" s="748">
        <v>220</v>
      </c>
      <c r="H192" s="968">
        <v>-19.2</v>
      </c>
      <c r="I192" s="107">
        <v>-17.8</v>
      </c>
      <c r="J192" s="107">
        <v>-11.8</v>
      </c>
      <c r="K192" s="107">
        <v>1.3</v>
      </c>
      <c r="L192" s="107">
        <v>10.7</v>
      </c>
      <c r="M192" s="107">
        <v>16.6</v>
      </c>
      <c r="N192" s="107">
        <v>18.3</v>
      </c>
      <c r="O192" s="107">
        <v>15.9</v>
      </c>
      <c r="P192" s="107">
        <v>10.4</v>
      </c>
      <c r="Q192" s="107">
        <v>1.4</v>
      </c>
      <c r="R192" s="107">
        <v>-8.9</v>
      </c>
      <c r="S192" s="748">
        <v>-16.5</v>
      </c>
      <c r="T192" s="154">
        <v>130</v>
      </c>
      <c r="U192" s="107">
        <v>150</v>
      </c>
      <c r="V192" s="107">
        <v>270</v>
      </c>
      <c r="W192" s="107">
        <v>520</v>
      </c>
      <c r="X192" s="107">
        <v>710</v>
      </c>
      <c r="Y192" s="107">
        <v>1110</v>
      </c>
      <c r="Z192" s="107">
        <v>1430</v>
      </c>
      <c r="AA192" s="107">
        <v>1280</v>
      </c>
      <c r="AB192" s="107">
        <v>890</v>
      </c>
      <c r="AC192" s="107">
        <v>540</v>
      </c>
      <c r="AD192" s="107">
        <v>300</v>
      </c>
      <c r="AE192" s="748">
        <v>180</v>
      </c>
      <c r="AF192" s="804">
        <v>12.1</v>
      </c>
      <c r="AG192" s="789">
        <v>786</v>
      </c>
      <c r="AH192" s="789">
        <v>201</v>
      </c>
      <c r="AI192" s="790">
        <v>817</v>
      </c>
      <c r="AJ192" s="805">
        <v>327</v>
      </c>
      <c r="AK192" s="498">
        <v>5.1</v>
      </c>
      <c r="AL192" s="780" t="s">
        <v>634</v>
      </c>
      <c r="AM192" s="776">
        <v>56</v>
      </c>
      <c r="AN192" s="2"/>
      <c r="AO192"/>
    </row>
    <row r="193" spans="1:41" ht="12.75" customHeight="1">
      <c r="A193" s="152">
        <v>23</v>
      </c>
      <c r="B193" s="152"/>
      <c r="C193" s="154" t="s">
        <v>635</v>
      </c>
      <c r="D193" s="154" t="s">
        <v>610</v>
      </c>
      <c r="E193" s="155">
        <v>-33</v>
      </c>
      <c r="F193" s="155">
        <v>-7.1</v>
      </c>
      <c r="G193" s="745">
        <v>213</v>
      </c>
      <c r="H193" s="967">
        <v>-14.8</v>
      </c>
      <c r="I193" s="157">
        <v>-14.2</v>
      </c>
      <c r="J193" s="157">
        <v>-7.7</v>
      </c>
      <c r="K193" s="157">
        <v>-4.7</v>
      </c>
      <c r="L193" s="157">
        <v>14.7</v>
      </c>
      <c r="M193" s="157">
        <v>19.8</v>
      </c>
      <c r="N193" s="157">
        <v>21.9</v>
      </c>
      <c r="O193" s="157">
        <v>20</v>
      </c>
      <c r="P193" s="157">
        <v>13.3</v>
      </c>
      <c r="Q193" s="157">
        <v>4.6</v>
      </c>
      <c r="R193" s="157">
        <v>-4.4</v>
      </c>
      <c r="S193" s="158">
        <v>-11.5</v>
      </c>
      <c r="T193" s="159">
        <v>200</v>
      </c>
      <c r="U193" s="160">
        <v>200</v>
      </c>
      <c r="V193" s="160">
        <v>330</v>
      </c>
      <c r="W193" s="160">
        <v>620</v>
      </c>
      <c r="X193" s="160">
        <v>900</v>
      </c>
      <c r="Y193" s="160">
        <v>1200</v>
      </c>
      <c r="Z193" s="160">
        <v>1400</v>
      </c>
      <c r="AA193" s="160">
        <v>1250</v>
      </c>
      <c r="AB193" s="160">
        <v>910</v>
      </c>
      <c r="AC193" s="160">
        <v>610</v>
      </c>
      <c r="AD193" s="160">
        <v>380</v>
      </c>
      <c r="AE193" s="161">
        <v>270</v>
      </c>
      <c r="AF193" s="804">
        <v>22.7</v>
      </c>
      <c r="AG193" s="789">
        <v>781</v>
      </c>
      <c r="AH193" s="789">
        <v>194</v>
      </c>
      <c r="AI193" s="790">
        <v>852</v>
      </c>
      <c r="AJ193" s="805">
        <v>329</v>
      </c>
      <c r="AK193" s="498">
        <v>3.9</v>
      </c>
      <c r="AL193" s="780" t="s">
        <v>635</v>
      </c>
      <c r="AM193" s="776">
        <v>52</v>
      </c>
      <c r="AN193" s="2"/>
      <c r="AO193"/>
    </row>
    <row r="194" spans="1:41" ht="12.75" customHeight="1">
      <c r="A194" s="152">
        <v>24</v>
      </c>
      <c r="B194" s="152"/>
      <c r="C194" s="153" t="s">
        <v>636</v>
      </c>
      <c r="D194" s="154" t="s">
        <v>610</v>
      </c>
      <c r="E194" s="155">
        <v>-29</v>
      </c>
      <c r="F194" s="155">
        <v>-5.1</v>
      </c>
      <c r="G194" s="156">
        <v>206</v>
      </c>
      <c r="H194" s="967">
        <v>-12.1</v>
      </c>
      <c r="I194" s="157">
        <v>-11.6</v>
      </c>
      <c r="J194" s="157">
        <v>-5.8</v>
      </c>
      <c r="K194" s="157">
        <v>4.5</v>
      </c>
      <c r="L194" s="157">
        <v>13.4</v>
      </c>
      <c r="M194" s="157">
        <v>17.6</v>
      </c>
      <c r="N194" s="157">
        <v>19.8</v>
      </c>
      <c r="O194" s="157">
        <v>18.1</v>
      </c>
      <c r="P194" s="157">
        <v>11.8</v>
      </c>
      <c r="Q194" s="157">
        <v>4.3</v>
      </c>
      <c r="R194" s="157">
        <v>-3.4</v>
      </c>
      <c r="S194" s="158">
        <v>-9.3</v>
      </c>
      <c r="T194" s="159">
        <v>250</v>
      </c>
      <c r="U194" s="160">
        <v>260</v>
      </c>
      <c r="V194" s="160">
        <v>350</v>
      </c>
      <c r="W194" s="160">
        <v>620</v>
      </c>
      <c r="X194" s="160">
        <v>890</v>
      </c>
      <c r="Y194" s="160">
        <v>1240</v>
      </c>
      <c r="Z194" s="160">
        <v>1490</v>
      </c>
      <c r="AA194" s="160">
        <v>1380</v>
      </c>
      <c r="AB194" s="160">
        <v>980</v>
      </c>
      <c r="AC194" s="160">
        <v>660</v>
      </c>
      <c r="AD194" s="160">
        <v>440</v>
      </c>
      <c r="AE194" s="161">
        <v>320</v>
      </c>
      <c r="AF194" s="804">
        <v>19.2</v>
      </c>
      <c r="AG194" s="789">
        <v>781</v>
      </c>
      <c r="AH194" s="789">
        <v>194</v>
      </c>
      <c r="AI194" s="790">
        <v>852</v>
      </c>
      <c r="AJ194" s="805">
        <v>329</v>
      </c>
      <c r="AK194" s="498">
        <v>5.6</v>
      </c>
      <c r="AL194" s="779" t="s">
        <v>636</v>
      </c>
      <c r="AM194" s="776">
        <v>52</v>
      </c>
      <c r="AN194" s="2"/>
      <c r="AO194"/>
    </row>
    <row r="195" spans="1:41" ht="12.75" customHeight="1">
      <c r="A195" s="152">
        <v>25</v>
      </c>
      <c r="B195" s="152"/>
      <c r="C195" s="154" t="s">
        <v>637</v>
      </c>
      <c r="D195" s="154" t="s">
        <v>613</v>
      </c>
      <c r="E195" s="155">
        <v>-32</v>
      </c>
      <c r="F195" s="155">
        <v>-3.3</v>
      </c>
      <c r="G195" s="745">
        <v>242</v>
      </c>
      <c r="H195" s="967">
        <v>-10.6</v>
      </c>
      <c r="I195" s="157">
        <v>-10.2</v>
      </c>
      <c r="J195" s="157">
        <v>-5.6</v>
      </c>
      <c r="K195" s="157">
        <v>1.5</v>
      </c>
      <c r="L195" s="157">
        <v>7.3</v>
      </c>
      <c r="M195" s="157">
        <v>13.1</v>
      </c>
      <c r="N195" s="157">
        <v>15.9</v>
      </c>
      <c r="O195" s="157">
        <v>14.1</v>
      </c>
      <c r="P195" s="157">
        <v>8.9</v>
      </c>
      <c r="Q195" s="157">
        <v>2.6</v>
      </c>
      <c r="R195" s="157">
        <v>-2.6</v>
      </c>
      <c r="S195" s="158">
        <v>-7.8</v>
      </c>
      <c r="T195" s="746">
        <v>280</v>
      </c>
      <c r="U195" s="155">
        <v>270</v>
      </c>
      <c r="V195" s="155">
        <v>310</v>
      </c>
      <c r="W195" s="155">
        <v>490</v>
      </c>
      <c r="X195" s="155">
        <v>680</v>
      </c>
      <c r="Y195" s="155">
        <v>1060</v>
      </c>
      <c r="Z195" s="155">
        <v>1350</v>
      </c>
      <c r="AA195" s="155">
        <v>1310</v>
      </c>
      <c r="AB195" s="155">
        <v>980</v>
      </c>
      <c r="AC195" s="155">
        <v>660</v>
      </c>
      <c r="AD195" s="155">
        <v>490</v>
      </c>
      <c r="AE195" s="745">
        <v>350</v>
      </c>
      <c r="AF195" s="804">
        <v>18.4</v>
      </c>
      <c r="AG195" s="789">
        <v>781</v>
      </c>
      <c r="AH195" s="789">
        <v>206</v>
      </c>
      <c r="AI195" s="790">
        <v>738</v>
      </c>
      <c r="AJ195" s="805">
        <v>319</v>
      </c>
      <c r="AK195" s="498">
        <v>5.9</v>
      </c>
      <c r="AL195" s="780" t="s">
        <v>637</v>
      </c>
      <c r="AM195" s="776">
        <v>60</v>
      </c>
      <c r="AN195" s="2"/>
      <c r="AO195"/>
    </row>
    <row r="196" spans="1:41" ht="12.75" customHeight="1">
      <c r="A196" s="152">
        <v>26</v>
      </c>
      <c r="B196" s="152"/>
      <c r="C196" s="154" t="s">
        <v>638</v>
      </c>
      <c r="D196" s="154" t="s">
        <v>613</v>
      </c>
      <c r="E196" s="155">
        <v>-20</v>
      </c>
      <c r="F196" s="155">
        <v>-2.1</v>
      </c>
      <c r="G196" s="745">
        <v>259</v>
      </c>
      <c r="H196" s="967">
        <v>-8.4</v>
      </c>
      <c r="I196" s="157">
        <v>-8.5</v>
      </c>
      <c r="J196" s="157">
        <v>-5.4</v>
      </c>
      <c r="K196" s="157">
        <v>-0.6</v>
      </c>
      <c r="L196" s="157">
        <v>3.8</v>
      </c>
      <c r="M196" s="157">
        <v>8.6</v>
      </c>
      <c r="N196" s="157">
        <v>12.6</v>
      </c>
      <c r="O196" s="157">
        <v>13.5</v>
      </c>
      <c r="P196" s="157">
        <v>10.2</v>
      </c>
      <c r="Q196" s="157">
        <v>4.8</v>
      </c>
      <c r="R196" s="157">
        <v>-1.7</v>
      </c>
      <c r="S196" s="158">
        <v>-6</v>
      </c>
      <c r="T196" s="746">
        <v>250</v>
      </c>
      <c r="U196" s="155">
        <v>240</v>
      </c>
      <c r="V196" s="155">
        <v>300</v>
      </c>
      <c r="W196" s="155">
        <v>420</v>
      </c>
      <c r="X196" s="155">
        <v>590</v>
      </c>
      <c r="Y196" s="155">
        <v>870</v>
      </c>
      <c r="Z196" s="155">
        <v>1200</v>
      </c>
      <c r="AA196" s="155">
        <v>1280</v>
      </c>
      <c r="AB196" s="155">
        <v>980</v>
      </c>
      <c r="AC196" s="155">
        <v>610</v>
      </c>
      <c r="AD196" s="155">
        <v>380</v>
      </c>
      <c r="AE196" s="745">
        <v>280</v>
      </c>
      <c r="AF196" s="804">
        <v>17</v>
      </c>
      <c r="AG196" s="789">
        <v>781</v>
      </c>
      <c r="AH196" s="789">
        <v>194</v>
      </c>
      <c r="AI196" s="790">
        <v>852</v>
      </c>
      <c r="AJ196" s="805">
        <v>329</v>
      </c>
      <c r="AK196" s="498">
        <v>15.6</v>
      </c>
      <c r="AL196" s="780" t="s">
        <v>638</v>
      </c>
      <c r="AM196" s="776">
        <v>52</v>
      </c>
      <c r="AN196" s="2"/>
      <c r="AO196"/>
    </row>
    <row r="197" spans="1:41" ht="12.75" customHeight="1">
      <c r="A197" s="152">
        <v>27</v>
      </c>
      <c r="B197" s="152"/>
      <c r="C197" s="153" t="s">
        <v>639</v>
      </c>
      <c r="D197" s="154" t="s">
        <v>610</v>
      </c>
      <c r="E197" s="155">
        <v>-22</v>
      </c>
      <c r="F197" s="155">
        <v>-1.1</v>
      </c>
      <c r="G197" s="156">
        <v>175</v>
      </c>
      <c r="H197" s="967">
        <v>-5.7</v>
      </c>
      <c r="I197" s="157">
        <v>-5.1</v>
      </c>
      <c r="J197" s="157">
        <v>0.2</v>
      </c>
      <c r="K197" s="157">
        <v>9</v>
      </c>
      <c r="L197" s="157">
        <v>16.4</v>
      </c>
      <c r="M197" s="157">
        <v>20</v>
      </c>
      <c r="N197" s="157">
        <v>22.9</v>
      </c>
      <c r="O197" s="157">
        <v>22.1</v>
      </c>
      <c r="P197" s="157">
        <v>16.2</v>
      </c>
      <c r="Q197" s="157">
        <v>9.2</v>
      </c>
      <c r="R197" s="157">
        <v>2.2</v>
      </c>
      <c r="S197" s="158">
        <v>-3.1</v>
      </c>
      <c r="T197" s="159">
        <v>420</v>
      </c>
      <c r="U197" s="160">
        <v>430</v>
      </c>
      <c r="V197" s="160">
        <v>530</v>
      </c>
      <c r="W197" s="160">
        <v>780</v>
      </c>
      <c r="X197" s="160">
        <v>1090</v>
      </c>
      <c r="Y197" s="160">
        <v>1440</v>
      </c>
      <c r="Z197" s="160">
        <v>1570</v>
      </c>
      <c r="AA197" s="160">
        <v>1470</v>
      </c>
      <c r="AB197" s="160">
        <v>1140</v>
      </c>
      <c r="AC197" s="160">
        <v>860</v>
      </c>
      <c r="AD197" s="160">
        <v>670</v>
      </c>
      <c r="AE197" s="161">
        <v>510</v>
      </c>
      <c r="AF197" s="804">
        <v>20.8</v>
      </c>
      <c r="AG197" s="789">
        <v>764</v>
      </c>
      <c r="AH197" s="789">
        <v>184</v>
      </c>
      <c r="AI197" s="790">
        <v>866</v>
      </c>
      <c r="AJ197" s="805">
        <v>328</v>
      </c>
      <c r="AK197" s="498">
        <v>6.5</v>
      </c>
      <c r="AL197" s="779" t="s">
        <v>639</v>
      </c>
      <c r="AM197" s="776">
        <v>48</v>
      </c>
      <c r="AN197" s="2"/>
      <c r="AO197"/>
    </row>
    <row r="198" spans="1:41" ht="12.75" customHeight="1">
      <c r="A198" s="152">
        <v>28</v>
      </c>
      <c r="B198" s="152"/>
      <c r="C198" s="153" t="s">
        <v>640</v>
      </c>
      <c r="D198" s="154" t="s">
        <v>610</v>
      </c>
      <c r="E198" s="155">
        <v>-30</v>
      </c>
      <c r="F198" s="155">
        <v>-6.1</v>
      </c>
      <c r="G198" s="156">
        <v>206</v>
      </c>
      <c r="H198" s="967">
        <v>-13.8</v>
      </c>
      <c r="I198" s="157">
        <v>-13</v>
      </c>
      <c r="J198" s="157">
        <v>-6.8</v>
      </c>
      <c r="K198" s="157">
        <v>4.6</v>
      </c>
      <c r="L198" s="157">
        <v>14</v>
      </c>
      <c r="M198" s="157" t="s">
        <v>641</v>
      </c>
      <c r="N198" s="157">
        <v>20.7</v>
      </c>
      <c r="O198" s="157">
        <v>19</v>
      </c>
      <c r="P198" s="157">
        <v>12.4</v>
      </c>
      <c r="Q198" s="157">
        <v>4.2</v>
      </c>
      <c r="R198" s="157">
        <v>-4.1</v>
      </c>
      <c r="S198" s="158">
        <v>-10.7</v>
      </c>
      <c r="T198" s="159">
        <v>220</v>
      </c>
      <c r="U198" s="160">
        <v>220</v>
      </c>
      <c r="V198" s="160">
        <v>350</v>
      </c>
      <c r="W198" s="160">
        <v>620</v>
      </c>
      <c r="X198" s="160">
        <v>850</v>
      </c>
      <c r="Y198" s="160">
        <v>1210</v>
      </c>
      <c r="Z198" s="160">
        <v>1460</v>
      </c>
      <c r="AA198" s="160">
        <v>1330</v>
      </c>
      <c r="AB198" s="160">
        <v>960</v>
      </c>
      <c r="AC198" s="160">
        <v>630</v>
      </c>
      <c r="AD198" s="160">
        <v>420</v>
      </c>
      <c r="AE198" s="161">
        <v>290</v>
      </c>
      <c r="AF198" s="804">
        <v>18.5</v>
      </c>
      <c r="AG198" s="789">
        <v>781</v>
      </c>
      <c r="AH198" s="789">
        <v>194</v>
      </c>
      <c r="AI198" s="790">
        <v>852</v>
      </c>
      <c r="AJ198" s="805">
        <v>329</v>
      </c>
      <c r="AK198" s="498">
        <v>5.7</v>
      </c>
      <c r="AL198" s="779" t="s">
        <v>640</v>
      </c>
      <c r="AM198" s="776">
        <v>52</v>
      </c>
      <c r="AN198" s="2"/>
      <c r="AO198"/>
    </row>
    <row r="199" spans="1:41" ht="12.75" customHeight="1">
      <c r="A199" s="152">
        <v>29</v>
      </c>
      <c r="B199" s="152"/>
      <c r="C199" s="153" t="s">
        <v>642</v>
      </c>
      <c r="D199" s="154" t="s">
        <v>613</v>
      </c>
      <c r="E199" s="155">
        <v>-26</v>
      </c>
      <c r="F199" s="155">
        <v>-2.2</v>
      </c>
      <c r="G199" s="156">
        <v>219</v>
      </c>
      <c r="H199" s="967">
        <v>-7.7</v>
      </c>
      <c r="I199" s="157">
        <v>-7.9</v>
      </c>
      <c r="J199" s="157">
        <v>-4.2</v>
      </c>
      <c r="K199" s="157">
        <v>3</v>
      </c>
      <c r="L199" s="157">
        <v>9.6</v>
      </c>
      <c r="M199" s="157">
        <v>14.8</v>
      </c>
      <c r="N199" s="157">
        <v>17.8</v>
      </c>
      <c r="O199" s="157">
        <v>16</v>
      </c>
      <c r="P199" s="157">
        <v>10.8</v>
      </c>
      <c r="Q199" s="157">
        <v>4.8</v>
      </c>
      <c r="R199" s="157">
        <v>-0.5</v>
      </c>
      <c r="S199" s="158">
        <v>-5.1</v>
      </c>
      <c r="T199" s="159">
        <v>340</v>
      </c>
      <c r="U199" s="160">
        <v>320</v>
      </c>
      <c r="V199" s="160">
        <v>370</v>
      </c>
      <c r="W199" s="160">
        <v>570</v>
      </c>
      <c r="X199" s="160">
        <v>800</v>
      </c>
      <c r="Y199" s="160">
        <v>1190</v>
      </c>
      <c r="Z199" s="160">
        <v>1470</v>
      </c>
      <c r="AA199" s="160">
        <v>1440</v>
      </c>
      <c r="AB199" s="160">
        <v>1090</v>
      </c>
      <c r="AC199" s="160">
        <v>760</v>
      </c>
      <c r="AD199" s="160">
        <v>550</v>
      </c>
      <c r="AE199" s="161">
        <v>420</v>
      </c>
      <c r="AF199" s="804">
        <v>16.5</v>
      </c>
      <c r="AG199" s="789">
        <v>781</v>
      </c>
      <c r="AH199" s="789">
        <v>206</v>
      </c>
      <c r="AI199" s="790">
        <v>738</v>
      </c>
      <c r="AJ199" s="805">
        <v>319</v>
      </c>
      <c r="AK199" s="498">
        <v>4.2</v>
      </c>
      <c r="AL199" s="779" t="s">
        <v>642</v>
      </c>
      <c r="AM199" s="776">
        <v>60</v>
      </c>
      <c r="AN199" s="2"/>
      <c r="AO199"/>
    </row>
    <row r="200" spans="1:41" ht="12.75" customHeight="1">
      <c r="A200" s="152">
        <v>30</v>
      </c>
      <c r="B200" s="152"/>
      <c r="C200" s="153" t="s">
        <v>643</v>
      </c>
      <c r="D200" s="154" t="s">
        <v>610</v>
      </c>
      <c r="E200" s="155">
        <v>-27</v>
      </c>
      <c r="F200" s="155">
        <v>-5</v>
      </c>
      <c r="G200" s="156">
        <v>198</v>
      </c>
      <c r="H200" s="967">
        <v>-11.9</v>
      </c>
      <c r="I200" s="157">
        <v>-11.3</v>
      </c>
      <c r="J200" s="157">
        <v>-5.2</v>
      </c>
      <c r="K200" s="157">
        <v>5.8</v>
      </c>
      <c r="L200" s="157">
        <v>15.1</v>
      </c>
      <c r="M200" s="157">
        <v>20</v>
      </c>
      <c r="N200" s="157">
        <v>22.1</v>
      </c>
      <c r="O200" s="157">
        <v>20.6</v>
      </c>
      <c r="P200" s="157">
        <v>14.1</v>
      </c>
      <c r="Q200" s="157">
        <v>5.7</v>
      </c>
      <c r="R200" s="157">
        <v>-2.4</v>
      </c>
      <c r="S200" s="158">
        <v>-8.7</v>
      </c>
      <c r="T200" s="159">
        <v>250</v>
      </c>
      <c r="U200" s="160">
        <v>260</v>
      </c>
      <c r="V200" s="160">
        <v>370</v>
      </c>
      <c r="W200" s="160">
        <v>640</v>
      </c>
      <c r="X200" s="160">
        <v>880</v>
      </c>
      <c r="Y200" s="160">
        <v>1180</v>
      </c>
      <c r="Z200" s="160">
        <v>1370</v>
      </c>
      <c r="AA200" s="160">
        <v>1310</v>
      </c>
      <c r="AB200" s="160">
        <v>930</v>
      </c>
      <c r="AC200" s="160">
        <v>660</v>
      </c>
      <c r="AD200" s="160">
        <v>460</v>
      </c>
      <c r="AE200" s="161">
        <v>350</v>
      </c>
      <c r="AF200" s="804">
        <v>20.4</v>
      </c>
      <c r="AG200" s="789">
        <v>781</v>
      </c>
      <c r="AH200" s="789">
        <v>194</v>
      </c>
      <c r="AI200" s="790">
        <v>852</v>
      </c>
      <c r="AJ200" s="805">
        <v>329</v>
      </c>
      <c r="AK200" s="498">
        <v>6</v>
      </c>
      <c r="AL200" s="779" t="s">
        <v>643</v>
      </c>
      <c r="AM200" s="776">
        <v>52</v>
      </c>
      <c r="AN200" s="2"/>
      <c r="AO200"/>
    </row>
    <row r="201" spans="1:41" ht="12.75" customHeight="1">
      <c r="A201" s="152">
        <v>31</v>
      </c>
      <c r="B201" s="152"/>
      <c r="C201" s="153" t="s">
        <v>644</v>
      </c>
      <c r="D201" s="154" t="s">
        <v>610</v>
      </c>
      <c r="E201" s="155">
        <v>-43</v>
      </c>
      <c r="F201" s="155">
        <v>-9.7</v>
      </c>
      <c r="G201" s="156">
        <v>257</v>
      </c>
      <c r="H201" s="967">
        <v>-22</v>
      </c>
      <c r="I201" s="157">
        <v>-19.6</v>
      </c>
      <c r="J201" s="157">
        <v>-13.3</v>
      </c>
      <c r="K201" s="157">
        <v>-3.5</v>
      </c>
      <c r="L201" s="157">
        <v>4.1</v>
      </c>
      <c r="M201" s="157">
        <v>13</v>
      </c>
      <c r="N201" s="157">
        <v>16.9</v>
      </c>
      <c r="O201" s="157">
        <v>14</v>
      </c>
      <c r="P201" s="157">
        <v>7.8</v>
      </c>
      <c r="Q201" s="157">
        <v>-1.4</v>
      </c>
      <c r="R201" s="157">
        <v>-13.2</v>
      </c>
      <c r="S201" s="158">
        <v>-20.3</v>
      </c>
      <c r="T201" s="159">
        <v>120</v>
      </c>
      <c r="U201" s="160">
        <v>130</v>
      </c>
      <c r="V201" s="160">
        <v>190</v>
      </c>
      <c r="W201" s="160">
        <v>390</v>
      </c>
      <c r="X201" s="160">
        <v>600</v>
      </c>
      <c r="Y201" s="160">
        <v>1005</v>
      </c>
      <c r="Z201" s="160">
        <v>1306</v>
      </c>
      <c r="AA201" s="160">
        <v>1207</v>
      </c>
      <c r="AB201" s="160">
        <v>809</v>
      </c>
      <c r="AC201" s="160">
        <v>500</v>
      </c>
      <c r="AD201" s="160">
        <v>204</v>
      </c>
      <c r="AE201" s="161">
        <v>104</v>
      </c>
      <c r="AF201" s="804">
        <v>22.1</v>
      </c>
      <c r="AG201" s="789">
        <v>786</v>
      </c>
      <c r="AH201" s="789">
        <v>201</v>
      </c>
      <c r="AI201" s="790">
        <v>817</v>
      </c>
      <c r="AJ201" s="805">
        <v>327</v>
      </c>
      <c r="AK201" s="498">
        <v>4.5</v>
      </c>
      <c r="AL201" s="779" t="s">
        <v>644</v>
      </c>
      <c r="AM201" s="776">
        <v>54</v>
      </c>
      <c r="AN201" s="2"/>
      <c r="AO201"/>
    </row>
    <row r="202" spans="1:41" ht="12.75" customHeight="1">
      <c r="A202" s="152">
        <v>32</v>
      </c>
      <c r="B202" s="152"/>
      <c r="C202" s="153" t="s">
        <v>645</v>
      </c>
      <c r="D202" s="154" t="s">
        <v>613</v>
      </c>
      <c r="E202" s="155">
        <v>-3</v>
      </c>
      <c r="F202" s="155">
        <v>6.4</v>
      </c>
      <c r="G202" s="156">
        <v>90</v>
      </c>
      <c r="H202" s="967">
        <v>-5.1</v>
      </c>
      <c r="I202" s="157">
        <v>5.9</v>
      </c>
      <c r="J202" s="157">
        <v>8.1</v>
      </c>
      <c r="K202" s="157">
        <v>11.6</v>
      </c>
      <c r="L202" s="157">
        <v>16.1</v>
      </c>
      <c r="M202" s="157">
        <v>19.9</v>
      </c>
      <c r="N202" s="157">
        <v>22.8</v>
      </c>
      <c r="O202" s="157">
        <v>23.2</v>
      </c>
      <c r="P202" s="157">
        <v>19.9</v>
      </c>
      <c r="Q202" s="157">
        <v>15.9</v>
      </c>
      <c r="R202" s="157">
        <v>11.6</v>
      </c>
      <c r="S202" s="158">
        <v>8.2</v>
      </c>
      <c r="T202" s="159">
        <v>690</v>
      </c>
      <c r="U202" s="160">
        <v>700</v>
      </c>
      <c r="V202" s="160">
        <v>750</v>
      </c>
      <c r="W202" s="160">
        <v>1010</v>
      </c>
      <c r="X202" s="160">
        <v>1430</v>
      </c>
      <c r="Y202" s="160">
        <v>1870</v>
      </c>
      <c r="Z202" s="160">
        <v>2210</v>
      </c>
      <c r="AA202" s="160">
        <v>2150</v>
      </c>
      <c r="AB202" s="160">
        <v>1730</v>
      </c>
      <c r="AC202" s="160">
        <v>1280</v>
      </c>
      <c r="AD202" s="160">
        <v>1000</v>
      </c>
      <c r="AE202" s="161">
        <v>780</v>
      </c>
      <c r="AF202" s="804">
        <v>14.6</v>
      </c>
      <c r="AG202" s="789">
        <v>756</v>
      </c>
      <c r="AH202" s="789">
        <v>180</v>
      </c>
      <c r="AI202" s="790">
        <v>894</v>
      </c>
      <c r="AJ202" s="805">
        <v>331</v>
      </c>
      <c r="AK202" s="498">
        <v>6.5</v>
      </c>
      <c r="AL202" s="779" t="s">
        <v>645</v>
      </c>
      <c r="AM202" s="776">
        <v>44</v>
      </c>
      <c r="AN202" s="2"/>
      <c r="AO202"/>
    </row>
    <row r="203" spans="1:41" ht="12.75" customHeight="1">
      <c r="A203" s="152">
        <v>33</v>
      </c>
      <c r="B203" s="152"/>
      <c r="C203" s="154" t="s">
        <v>646</v>
      </c>
      <c r="D203" s="154" t="s">
        <v>610</v>
      </c>
      <c r="E203" s="107">
        <v>-19</v>
      </c>
      <c r="F203" s="107">
        <v>0.3</v>
      </c>
      <c r="G203" s="748">
        <v>169</v>
      </c>
      <c r="H203" s="968">
        <v>-5.1</v>
      </c>
      <c r="I203" s="107">
        <v>-3</v>
      </c>
      <c r="J203" s="107">
        <v>1.6</v>
      </c>
      <c r="K203" s="107">
        <v>8.6</v>
      </c>
      <c r="L203" s="107">
        <v>15.2</v>
      </c>
      <c r="M203" s="107">
        <v>19</v>
      </c>
      <c r="N203" s="107">
        <v>21.9</v>
      </c>
      <c r="O203" s="107">
        <v>21.5</v>
      </c>
      <c r="P203" s="107">
        <v>16</v>
      </c>
      <c r="Q203" s="107">
        <v>10</v>
      </c>
      <c r="R203" s="107">
        <v>3.4</v>
      </c>
      <c r="S203" s="748">
        <v>-1.1</v>
      </c>
      <c r="T203" s="154">
        <v>420</v>
      </c>
      <c r="U203" s="107">
        <v>440</v>
      </c>
      <c r="V203" s="107">
        <v>520</v>
      </c>
      <c r="W203" s="107">
        <v>740</v>
      </c>
      <c r="X203" s="107">
        <v>1090</v>
      </c>
      <c r="Y203" s="107">
        <v>1360</v>
      </c>
      <c r="Z203" s="107">
        <v>1500</v>
      </c>
      <c r="AA203" s="107">
        <v>1410</v>
      </c>
      <c r="AB203" s="107">
        <v>1160</v>
      </c>
      <c r="AC203" s="107">
        <v>860</v>
      </c>
      <c r="AD203" s="107">
        <v>660</v>
      </c>
      <c r="AE203" s="748">
        <v>500</v>
      </c>
      <c r="AF203" s="804">
        <v>20.8</v>
      </c>
      <c r="AG203" s="789">
        <v>764</v>
      </c>
      <c r="AH203" s="789">
        <v>184</v>
      </c>
      <c r="AI203" s="790">
        <v>866</v>
      </c>
      <c r="AJ203" s="805">
        <v>328</v>
      </c>
      <c r="AK203" s="498">
        <v>7.4</v>
      </c>
      <c r="AL203" s="780" t="s">
        <v>646</v>
      </c>
      <c r="AM203" s="776">
        <v>48</v>
      </c>
      <c r="AN203" s="2"/>
      <c r="AO203"/>
    </row>
    <row r="204" spans="1:41" ht="12.75" customHeight="1">
      <c r="A204" s="152">
        <v>34</v>
      </c>
      <c r="B204" s="152"/>
      <c r="C204" s="153" t="s">
        <v>647</v>
      </c>
      <c r="D204" s="154" t="s">
        <v>613</v>
      </c>
      <c r="E204" s="155">
        <v>-27</v>
      </c>
      <c r="F204" s="155">
        <v>-3</v>
      </c>
      <c r="G204" s="156">
        <v>207</v>
      </c>
      <c r="H204" s="967">
        <v>-10.1</v>
      </c>
      <c r="I204" s="157">
        <v>-9.6</v>
      </c>
      <c r="J204" s="157">
        <v>-4.8</v>
      </c>
      <c r="K204" s="157">
        <v>4.4</v>
      </c>
      <c r="L204" s="157">
        <v>12.6</v>
      </c>
      <c r="M204" s="157">
        <v>16.4</v>
      </c>
      <c r="N204" s="157">
        <v>18.4</v>
      </c>
      <c r="O204" s="157">
        <v>16.6</v>
      </c>
      <c r="P204" s="157">
        <v>11.1</v>
      </c>
      <c r="Q204" s="157">
        <v>4.7</v>
      </c>
      <c r="R204" s="157">
        <v>-1.8</v>
      </c>
      <c r="S204" s="158">
        <v>-7.4</v>
      </c>
      <c r="T204" s="159">
        <v>290</v>
      </c>
      <c r="U204" s="160">
        <v>290</v>
      </c>
      <c r="V204" s="160">
        <v>390</v>
      </c>
      <c r="W204" s="160">
        <v>660</v>
      </c>
      <c r="X204" s="160">
        <v>930</v>
      </c>
      <c r="Y204" s="160">
        <v>1270</v>
      </c>
      <c r="Z204" s="160">
        <v>1500</v>
      </c>
      <c r="AA204" s="160">
        <v>1440</v>
      </c>
      <c r="AB204" s="160">
        <v>1050</v>
      </c>
      <c r="AC204" s="160">
        <v>710</v>
      </c>
      <c r="AD204" s="160">
        <v>490</v>
      </c>
      <c r="AE204" s="161">
        <v>370</v>
      </c>
      <c r="AF204" s="804">
        <v>22.3</v>
      </c>
      <c r="AG204" s="789">
        <v>786</v>
      </c>
      <c r="AH204" s="789">
        <v>201</v>
      </c>
      <c r="AI204" s="790">
        <v>817</v>
      </c>
      <c r="AJ204" s="805">
        <v>327</v>
      </c>
      <c r="AK204" s="498">
        <v>3.4</v>
      </c>
      <c r="AL204" s="779" t="s">
        <v>647</v>
      </c>
      <c r="AM204" s="776">
        <v>56</v>
      </c>
      <c r="AN204" s="2"/>
      <c r="AO204"/>
    </row>
    <row r="205" spans="1:41" ht="12.75" customHeight="1">
      <c r="A205" s="152">
        <v>35</v>
      </c>
      <c r="B205" s="152"/>
      <c r="C205" s="153" t="s">
        <v>648</v>
      </c>
      <c r="D205" s="154" t="s">
        <v>613</v>
      </c>
      <c r="E205" s="155">
        <v>-7</v>
      </c>
      <c r="F205" s="155">
        <v>5.6</v>
      </c>
      <c r="G205" s="156">
        <v>113</v>
      </c>
      <c r="H205" s="967">
        <v>-5.1</v>
      </c>
      <c r="I205" s="157">
        <v>4.7</v>
      </c>
      <c r="J205" s="157">
        <v>7.2</v>
      </c>
      <c r="K205" s="157">
        <v>11.1</v>
      </c>
      <c r="L205" s="157">
        <v>16.1</v>
      </c>
      <c r="M205" s="157">
        <v>20</v>
      </c>
      <c r="N205" s="157">
        <v>23</v>
      </c>
      <c r="O205" s="157">
        <v>23.4</v>
      </c>
      <c r="P205" s="157">
        <v>19.5</v>
      </c>
      <c r="Q205" s="157">
        <v>15.1</v>
      </c>
      <c r="R205" s="157">
        <v>10.2</v>
      </c>
      <c r="S205" s="158">
        <v>6.7</v>
      </c>
      <c r="T205" s="159">
        <v>650</v>
      </c>
      <c r="U205" s="160">
        <v>650</v>
      </c>
      <c r="V205" s="160">
        <v>700</v>
      </c>
      <c r="W205" s="160">
        <v>970</v>
      </c>
      <c r="X205" s="160">
        <v>1390</v>
      </c>
      <c r="Y205" s="160">
        <v>1830</v>
      </c>
      <c r="Z205" s="160">
        <v>2120</v>
      </c>
      <c r="AA205" s="160">
        <v>2050</v>
      </c>
      <c r="AB205" s="160">
        <v>1620</v>
      </c>
      <c r="AC205" s="160">
        <v>1210</v>
      </c>
      <c r="AD205" s="160">
        <v>960</v>
      </c>
      <c r="AE205" s="161">
        <v>740</v>
      </c>
      <c r="AF205" s="804">
        <v>15</v>
      </c>
      <c r="AG205" s="789">
        <v>786</v>
      </c>
      <c r="AH205" s="789">
        <v>201</v>
      </c>
      <c r="AI205" s="790">
        <v>817</v>
      </c>
      <c r="AJ205" s="805">
        <v>327</v>
      </c>
      <c r="AK205" s="498">
        <v>8.3</v>
      </c>
      <c r="AL205" s="779" t="s">
        <v>648</v>
      </c>
      <c r="AM205" s="776">
        <v>56</v>
      </c>
      <c r="AN205" s="2"/>
      <c r="AO205"/>
    </row>
    <row r="206" spans="1:41" ht="12.75" customHeight="1">
      <c r="A206" s="152">
        <v>36</v>
      </c>
      <c r="B206" s="152"/>
      <c r="C206" s="153" t="s">
        <v>649</v>
      </c>
      <c r="D206" s="154" t="s">
        <v>610</v>
      </c>
      <c r="E206" s="155">
        <v>-37</v>
      </c>
      <c r="F206" s="155">
        <v>-7.5</v>
      </c>
      <c r="G206" s="156">
        <v>220</v>
      </c>
      <c r="H206" s="967">
        <v>-16.6</v>
      </c>
      <c r="I206" s="157">
        <v>-14.8</v>
      </c>
      <c r="J206" s="157">
        <v>-8</v>
      </c>
      <c r="K206" s="157">
        <v>2.7</v>
      </c>
      <c r="L206" s="157">
        <v>10.7</v>
      </c>
      <c r="M206" s="157">
        <v>16.7</v>
      </c>
      <c r="N206" s="157">
        <v>18.6</v>
      </c>
      <c r="O206" s="157">
        <v>16</v>
      </c>
      <c r="P206" s="157">
        <v>10.1</v>
      </c>
      <c r="Q206" s="157">
        <v>1.8</v>
      </c>
      <c r="R206" s="157">
        <v>-7.4</v>
      </c>
      <c r="S206" s="158">
        <v>-14.4</v>
      </c>
      <c r="T206" s="159">
        <v>160</v>
      </c>
      <c r="U206" s="160">
        <v>170</v>
      </c>
      <c r="V206" s="160">
        <v>250</v>
      </c>
      <c r="W206" s="160">
        <v>520</v>
      </c>
      <c r="X206" s="160">
        <v>730</v>
      </c>
      <c r="Y206" s="160">
        <v>1190</v>
      </c>
      <c r="Z206" s="160">
        <v>1450</v>
      </c>
      <c r="AA206" s="160">
        <v>1390</v>
      </c>
      <c r="AB206" s="160">
        <v>950</v>
      </c>
      <c r="AC206" s="160">
        <v>550</v>
      </c>
      <c r="AD206" s="160">
        <v>320</v>
      </c>
      <c r="AE206" s="161">
        <v>200</v>
      </c>
      <c r="AF206" s="804">
        <v>22.1</v>
      </c>
      <c r="AG206" s="789">
        <v>786</v>
      </c>
      <c r="AH206" s="789">
        <v>201</v>
      </c>
      <c r="AI206" s="790">
        <v>817</v>
      </c>
      <c r="AJ206" s="805">
        <v>327</v>
      </c>
      <c r="AK206" s="498">
        <v>3.9</v>
      </c>
      <c r="AL206" s="779" t="s">
        <v>649</v>
      </c>
      <c r="AM206" s="776">
        <v>56</v>
      </c>
      <c r="AN206" s="2"/>
      <c r="AO206"/>
    </row>
    <row r="207" spans="1:41" ht="12.75" customHeight="1">
      <c r="A207" s="152">
        <v>37</v>
      </c>
      <c r="B207" s="152"/>
      <c r="C207" s="154" t="s">
        <v>650</v>
      </c>
      <c r="D207" s="154" t="s">
        <v>613</v>
      </c>
      <c r="E207" s="155">
        <v>-31</v>
      </c>
      <c r="F207" s="155">
        <v>-10.1</v>
      </c>
      <c r="G207" s="745">
        <v>205</v>
      </c>
      <c r="H207" s="967">
        <v>-22.3</v>
      </c>
      <c r="I207" s="157">
        <v>-17.2</v>
      </c>
      <c r="J207" s="157">
        <v>-8.5</v>
      </c>
      <c r="K207" s="157">
        <v>3.1</v>
      </c>
      <c r="L207" s="157">
        <v>11.1</v>
      </c>
      <c r="M207" s="157">
        <v>17.4</v>
      </c>
      <c r="N207" s="157">
        <v>21.1</v>
      </c>
      <c r="O207" s="157">
        <v>20</v>
      </c>
      <c r="P207" s="157">
        <v>13.9</v>
      </c>
      <c r="Q207" s="157">
        <v>4.7</v>
      </c>
      <c r="R207" s="157">
        <v>-8.1</v>
      </c>
      <c r="S207" s="158">
        <v>-18.5</v>
      </c>
      <c r="T207" s="159">
        <v>90</v>
      </c>
      <c r="U207" s="160">
        <v>120</v>
      </c>
      <c r="V207" s="160">
        <v>240</v>
      </c>
      <c r="W207" s="160">
        <v>470</v>
      </c>
      <c r="X207" s="160">
        <v>810</v>
      </c>
      <c r="Y207" s="160">
        <v>1440</v>
      </c>
      <c r="Z207" s="160">
        <v>1960</v>
      </c>
      <c r="AA207" s="160">
        <v>1910</v>
      </c>
      <c r="AB207" s="160">
        <v>1240</v>
      </c>
      <c r="AC207" s="160">
        <v>590</v>
      </c>
      <c r="AD207" s="160">
        <v>250</v>
      </c>
      <c r="AE207" s="161">
        <v>120</v>
      </c>
      <c r="AF207" s="804">
        <v>17</v>
      </c>
      <c r="AG207" s="789">
        <v>764</v>
      </c>
      <c r="AH207" s="789">
        <v>184</v>
      </c>
      <c r="AI207" s="790">
        <v>866</v>
      </c>
      <c r="AJ207" s="805">
        <v>328</v>
      </c>
      <c r="AK207" s="498">
        <v>5.9</v>
      </c>
      <c r="AL207" s="780" t="s">
        <v>650</v>
      </c>
      <c r="AM207" s="776">
        <v>48</v>
      </c>
      <c r="AN207" s="2"/>
      <c r="AO207"/>
    </row>
    <row r="208" spans="1:41" ht="12.75" customHeight="1">
      <c r="A208" s="121">
        <v>45</v>
      </c>
      <c r="B208" s="121"/>
      <c r="C208" s="154" t="s">
        <v>651</v>
      </c>
      <c r="D208" s="154" t="s">
        <v>610</v>
      </c>
      <c r="E208" s="155">
        <v>-34</v>
      </c>
      <c r="F208" s="155">
        <v>-7.3</v>
      </c>
      <c r="G208" s="745">
        <v>218</v>
      </c>
      <c r="H208" s="157">
        <v>-16.4</v>
      </c>
      <c r="I208" s="157">
        <v>-14.1</v>
      </c>
      <c r="J208" s="157">
        <v>-8.4</v>
      </c>
      <c r="K208" s="157">
        <v>2.7</v>
      </c>
      <c r="L208" s="157">
        <v>11.4</v>
      </c>
      <c r="M208" s="157">
        <v>16.7</v>
      </c>
      <c r="N208" s="157">
        <v>18.1</v>
      </c>
      <c r="O208" s="157">
        <v>16</v>
      </c>
      <c r="P208" s="157">
        <v>10.2</v>
      </c>
      <c r="Q208" s="157">
        <v>2.2</v>
      </c>
      <c r="R208" s="157">
        <v>-6.7</v>
      </c>
      <c r="S208" s="157">
        <v>-13.5</v>
      </c>
      <c r="T208" s="159">
        <v>160</v>
      </c>
      <c r="U208" s="160">
        <v>180</v>
      </c>
      <c r="V208" s="160">
        <v>290</v>
      </c>
      <c r="W208" s="160">
        <v>550</v>
      </c>
      <c r="X208" s="160">
        <v>740</v>
      </c>
      <c r="Y208" s="160">
        <v>1160</v>
      </c>
      <c r="Z208" s="160">
        <v>1430</v>
      </c>
      <c r="AA208" s="160">
        <v>1340</v>
      </c>
      <c r="AB208" s="160">
        <v>940</v>
      </c>
      <c r="AC208" s="160">
        <v>550</v>
      </c>
      <c r="AD208" s="160">
        <v>320</v>
      </c>
      <c r="AE208" s="161">
        <v>210</v>
      </c>
      <c r="AF208" s="804">
        <v>20.1</v>
      </c>
      <c r="AG208" s="789">
        <v>786</v>
      </c>
      <c r="AH208" s="789">
        <v>201</v>
      </c>
      <c r="AI208" s="790">
        <v>817</v>
      </c>
      <c r="AJ208" s="805">
        <v>327</v>
      </c>
      <c r="AK208" s="498">
        <v>3.2</v>
      </c>
      <c r="AL208" s="780" t="s">
        <v>651</v>
      </c>
      <c r="AM208" s="776">
        <v>56</v>
      </c>
      <c r="AN208" s="2"/>
      <c r="AO208"/>
    </row>
    <row r="209" spans="1:41" ht="12.75" customHeight="1" thickBot="1">
      <c r="A209" s="1100">
        <v>39</v>
      </c>
      <c r="B209" s="1165"/>
      <c r="C209" s="133" t="s">
        <v>652</v>
      </c>
      <c r="D209" s="133" t="s">
        <v>610</v>
      </c>
      <c r="E209" s="749">
        <v>-55</v>
      </c>
      <c r="F209" s="749">
        <v>-18.7</v>
      </c>
      <c r="G209" s="750">
        <v>281</v>
      </c>
      <c r="H209" s="751">
        <v>-43.2</v>
      </c>
      <c r="I209" s="751">
        <v>-35.9</v>
      </c>
      <c r="J209" s="751">
        <v>-22.2</v>
      </c>
      <c r="K209" s="751">
        <v>-7.4</v>
      </c>
      <c r="L209" s="751">
        <v>4.95</v>
      </c>
      <c r="M209" s="751">
        <v>15.4</v>
      </c>
      <c r="N209" s="751">
        <v>18.7</v>
      </c>
      <c r="O209" s="751">
        <v>14.8</v>
      </c>
      <c r="P209" s="751">
        <v>6.2</v>
      </c>
      <c r="Q209" s="751">
        <v>-7.9</v>
      </c>
      <c r="R209" s="751">
        <v>-28</v>
      </c>
      <c r="S209" s="751">
        <v>-39.8</v>
      </c>
      <c r="T209" s="752">
        <v>10</v>
      </c>
      <c r="U209" s="753">
        <v>30</v>
      </c>
      <c r="V209" s="753">
        <v>90</v>
      </c>
      <c r="W209" s="753">
        <v>250</v>
      </c>
      <c r="X209" s="753">
        <v>540</v>
      </c>
      <c r="Y209" s="753">
        <v>1010</v>
      </c>
      <c r="Z209" s="753">
        <v>1320</v>
      </c>
      <c r="AA209" s="753">
        <v>1150</v>
      </c>
      <c r="AB209" s="753">
        <v>680</v>
      </c>
      <c r="AC209" s="753">
        <v>300</v>
      </c>
      <c r="AD209" s="753">
        <v>70</v>
      </c>
      <c r="AE209" s="754">
        <v>20</v>
      </c>
      <c r="AF209" s="806">
        <v>26.4</v>
      </c>
      <c r="AG209" s="789">
        <v>778</v>
      </c>
      <c r="AH209" s="807">
        <v>209</v>
      </c>
      <c r="AI209" s="808">
        <v>740</v>
      </c>
      <c r="AJ209" s="809">
        <v>314</v>
      </c>
      <c r="AK209" s="498">
        <v>5</v>
      </c>
      <c r="AL209" s="782" t="s">
        <v>652</v>
      </c>
      <c r="AM209" s="776">
        <v>62</v>
      </c>
      <c r="AN209" s="2"/>
      <c r="AO209"/>
    </row>
    <row r="210" spans="1:41" ht="12.75" customHeight="1">
      <c r="A210" s="1100">
        <v>40</v>
      </c>
      <c r="B210" s="1100"/>
      <c r="C210" s="1034" t="s">
        <v>653</v>
      </c>
      <c r="D210" s="1034" t="s">
        <v>613</v>
      </c>
      <c r="E210" s="1063">
        <v>-41</v>
      </c>
      <c r="F210" s="1063">
        <v>-8.2</v>
      </c>
      <c r="G210" s="1063">
        <v>248</v>
      </c>
      <c r="H210" s="1101">
        <v>-19.8</v>
      </c>
      <c r="I210" s="1101">
        <v>-17.4</v>
      </c>
      <c r="J210" s="1101">
        <v>-11.4</v>
      </c>
      <c r="K210" s="1101">
        <v>-0.7</v>
      </c>
      <c r="L210" s="1101">
        <v>6.6</v>
      </c>
      <c r="M210" s="1101">
        <v>14.3</v>
      </c>
      <c r="N210" s="1101">
        <v>17.5</v>
      </c>
      <c r="O210" s="1101">
        <v>15</v>
      </c>
      <c r="P210" s="1101">
        <v>8.4</v>
      </c>
      <c r="Q210" s="1101">
        <v>-0.7</v>
      </c>
      <c r="R210" s="1101">
        <v>-10.7</v>
      </c>
      <c r="S210" s="1101">
        <v>-18.1</v>
      </c>
      <c r="T210" s="1063">
        <v>140</v>
      </c>
      <c r="U210" s="1063">
        <v>160</v>
      </c>
      <c r="V210" s="1063">
        <v>220</v>
      </c>
      <c r="W210" s="1063">
        <v>430</v>
      </c>
      <c r="X210" s="1063">
        <v>670</v>
      </c>
      <c r="Y210" s="1063">
        <v>1120</v>
      </c>
      <c r="Z210" s="1063">
        <v>1410</v>
      </c>
      <c r="AA210" s="1063">
        <v>1320</v>
      </c>
      <c r="AB210" s="1063">
        <v>890</v>
      </c>
      <c r="AC210" s="1063">
        <v>520</v>
      </c>
      <c r="AD210" s="1063">
        <v>270</v>
      </c>
      <c r="AE210" s="1063">
        <v>160</v>
      </c>
      <c r="AF210" s="1102">
        <v>17.3</v>
      </c>
      <c r="AG210" s="1103">
        <v>781</v>
      </c>
      <c r="AH210" s="1103">
        <v>206</v>
      </c>
      <c r="AI210" s="1104">
        <v>738</v>
      </c>
      <c r="AJ210" s="1104">
        <v>319</v>
      </c>
      <c r="AK210" s="1068">
        <v>7.4</v>
      </c>
      <c r="AL210" s="1068" t="s">
        <v>653</v>
      </c>
      <c r="AM210" s="1105">
        <v>60</v>
      </c>
      <c r="AN210" s="1106"/>
      <c r="AO210"/>
    </row>
    <row r="211" spans="1:41" ht="12.75" customHeight="1">
      <c r="A211" s="1100">
        <v>41</v>
      </c>
      <c r="B211" s="1100"/>
      <c r="C211" s="1034" t="s">
        <v>654</v>
      </c>
      <c r="D211" s="1034" t="s">
        <v>610</v>
      </c>
      <c r="E211" s="1063">
        <v>-24</v>
      </c>
      <c r="F211" s="1063">
        <v>-3.4</v>
      </c>
      <c r="G211" s="1063">
        <v>168</v>
      </c>
      <c r="H211" s="1101">
        <v>-9.3</v>
      </c>
      <c r="I211" s="1101">
        <v>-7.3</v>
      </c>
      <c r="J211" s="1101">
        <v>0.8</v>
      </c>
      <c r="K211" s="1101">
        <v>11.7</v>
      </c>
      <c r="L211" s="1101">
        <v>19.4</v>
      </c>
      <c r="M211" s="1101">
        <v>24.3</v>
      </c>
      <c r="N211" s="1101">
        <v>23.7</v>
      </c>
      <c r="O211" s="1101">
        <v>23.8</v>
      </c>
      <c r="P211" s="1101">
        <v>17</v>
      </c>
      <c r="Q211" s="1101">
        <v>8.7</v>
      </c>
      <c r="R211" s="1101">
        <v>-0.1</v>
      </c>
      <c r="S211" s="1101">
        <v>-6.8</v>
      </c>
      <c r="T211" s="1107">
        <v>300</v>
      </c>
      <c r="U211" s="1107">
        <v>340</v>
      </c>
      <c r="V211" s="1107">
        <v>480</v>
      </c>
      <c r="W211" s="1107">
        <v>650</v>
      </c>
      <c r="X211" s="1107">
        <v>850</v>
      </c>
      <c r="Y211" s="1107">
        <v>1050</v>
      </c>
      <c r="Z211" s="1107">
        <v>1270</v>
      </c>
      <c r="AA211" s="1107">
        <v>1100</v>
      </c>
      <c r="AB211" s="1107">
        <v>790</v>
      </c>
      <c r="AC211" s="1107">
        <v>570</v>
      </c>
      <c r="AD211" s="1107">
        <v>420</v>
      </c>
      <c r="AE211" s="1107">
        <v>330</v>
      </c>
      <c r="AF211" s="1102">
        <v>25.3</v>
      </c>
      <c r="AG211" s="1103">
        <v>756</v>
      </c>
      <c r="AH211" s="1103">
        <v>180</v>
      </c>
      <c r="AI211" s="1104">
        <v>894</v>
      </c>
      <c r="AJ211" s="1104">
        <v>331</v>
      </c>
      <c r="AK211" s="1068">
        <v>6.5</v>
      </c>
      <c r="AL211" s="1068" t="s">
        <v>654</v>
      </c>
      <c r="AM211" s="1105">
        <v>44</v>
      </c>
      <c r="AN211" s="1106"/>
      <c r="AO211"/>
    </row>
    <row r="212" spans="1:41" ht="12.75" customHeight="1">
      <c r="A212" s="1100">
        <v>42</v>
      </c>
      <c r="B212" s="1100"/>
      <c r="C212" s="1034" t="s">
        <v>655</v>
      </c>
      <c r="D212" s="1034" t="s">
        <v>610</v>
      </c>
      <c r="E212" s="1063">
        <v>-22</v>
      </c>
      <c r="F212" s="1063">
        <v>-0.8</v>
      </c>
      <c r="G212" s="1063">
        <v>173</v>
      </c>
      <c r="H212" s="1101">
        <v>-5.4</v>
      </c>
      <c r="I212" s="1101">
        <v>-4.6</v>
      </c>
      <c r="J212" s="1101">
        <v>0.2</v>
      </c>
      <c r="K212" s="1101">
        <v>9</v>
      </c>
      <c r="L212" s="1101">
        <v>16.7</v>
      </c>
      <c r="M212" s="1101">
        <v>20.9</v>
      </c>
      <c r="N212" s="1101">
        <v>23.5</v>
      </c>
      <c r="O212" s="1101">
        <v>22.4</v>
      </c>
      <c r="P212" s="1101">
        <v>16.5</v>
      </c>
      <c r="Q212" s="1101">
        <v>9.6</v>
      </c>
      <c r="R212" s="1101">
        <v>2.8</v>
      </c>
      <c r="S212" s="1101">
        <v>-2.5</v>
      </c>
      <c r="T212" s="1063">
        <v>420</v>
      </c>
      <c r="U212" s="1063">
        <v>430</v>
      </c>
      <c r="V212" s="1063">
        <v>540</v>
      </c>
      <c r="W212" s="1063">
        <v>850</v>
      </c>
      <c r="X212" s="1063">
        <v>1200</v>
      </c>
      <c r="Y212" s="1063">
        <v>1620</v>
      </c>
      <c r="Z212" s="1063">
        <v>1780</v>
      </c>
      <c r="AA212" s="1063">
        <v>1700</v>
      </c>
      <c r="AB212" s="1063">
        <v>1300</v>
      </c>
      <c r="AC212" s="1063">
        <v>930</v>
      </c>
      <c r="AD212" s="1063">
        <v>690</v>
      </c>
      <c r="AE212" s="1063">
        <v>520</v>
      </c>
      <c r="AF212" s="1102"/>
      <c r="AG212" s="1103"/>
      <c r="AH212" s="1103"/>
      <c r="AI212" s="1104"/>
      <c r="AJ212" s="1104"/>
      <c r="AK212" s="1068">
        <v>5</v>
      </c>
      <c r="AL212" s="1068" t="s">
        <v>655</v>
      </c>
      <c r="AM212" s="1105"/>
      <c r="AN212" s="1106"/>
      <c r="AO212"/>
    </row>
    <row r="213" spans="1:41" ht="12.75" customHeight="1">
      <c r="A213" s="1063">
        <v>44</v>
      </c>
      <c r="B213" s="1063"/>
      <c r="C213" s="1065" t="s">
        <v>757</v>
      </c>
      <c r="D213" s="1034" t="s">
        <v>610</v>
      </c>
      <c r="E213" s="1063">
        <v>-18</v>
      </c>
      <c r="F213" s="1063">
        <v>1</v>
      </c>
      <c r="G213" s="1100">
        <v>165</v>
      </c>
      <c r="H213" s="1101">
        <v>-5.5</v>
      </c>
      <c r="I213" s="1101">
        <v>-2</v>
      </c>
      <c r="J213" s="1101">
        <v>2</v>
      </c>
      <c r="K213" s="1101">
        <v>8.2</v>
      </c>
      <c r="L213" s="1101">
        <v>15</v>
      </c>
      <c r="M213" s="1101">
        <v>19.4</v>
      </c>
      <c r="N213" s="1101">
        <v>22.2</v>
      </c>
      <c r="O213" s="1101">
        <v>21.4</v>
      </c>
      <c r="P213" s="1101">
        <v>16.9</v>
      </c>
      <c r="Q213" s="1101">
        <v>11.4</v>
      </c>
      <c r="R213" s="1101">
        <v>5.3</v>
      </c>
      <c r="S213" s="1101">
        <v>0.2</v>
      </c>
      <c r="T213" s="154">
        <v>420</v>
      </c>
      <c r="U213" s="107">
        <v>440</v>
      </c>
      <c r="V213" s="107">
        <v>520</v>
      </c>
      <c r="W213" s="107">
        <v>740</v>
      </c>
      <c r="X213" s="1063"/>
      <c r="Y213" s="1063"/>
      <c r="Z213" s="1063"/>
      <c r="AA213" s="1063"/>
      <c r="AB213" s="1063"/>
      <c r="AC213" s="1063"/>
      <c r="AD213" s="1063"/>
      <c r="AE213" s="1063"/>
      <c r="AF213" s="1102">
        <v>14.7</v>
      </c>
      <c r="AG213" s="1103">
        <v>752</v>
      </c>
      <c r="AH213" s="1103">
        <v>182</v>
      </c>
      <c r="AI213" s="1104">
        <v>866</v>
      </c>
      <c r="AJ213" s="1104">
        <v>328</v>
      </c>
      <c r="AK213" s="1068">
        <v>4.3</v>
      </c>
      <c r="AL213" s="1108" t="s">
        <v>656</v>
      </c>
      <c r="AM213" s="1105">
        <v>48</v>
      </c>
      <c r="AN213" s="1106"/>
      <c r="AO213"/>
    </row>
    <row r="214" spans="1:41" ht="12.75" customHeight="1">
      <c r="A214" s="1063">
        <v>45</v>
      </c>
      <c r="B214" s="1063"/>
      <c r="C214" s="1034" t="s">
        <v>657</v>
      </c>
      <c r="D214" s="1034" t="s">
        <v>610</v>
      </c>
      <c r="E214" s="1063">
        <v>-16</v>
      </c>
      <c r="F214" s="1063">
        <v>2.4</v>
      </c>
      <c r="G214" s="1063">
        <v>149</v>
      </c>
      <c r="H214" s="1101">
        <v>-5.1</v>
      </c>
      <c r="I214" s="1101">
        <v>-0.1</v>
      </c>
      <c r="J214" s="1101">
        <v>3.8</v>
      </c>
      <c r="K214" s="1101">
        <v>9.4</v>
      </c>
      <c r="L214" s="1101">
        <v>14.4</v>
      </c>
      <c r="M214" s="1101">
        <v>20</v>
      </c>
      <c r="N214" s="1101">
        <v>23.2</v>
      </c>
      <c r="O214" s="1101">
        <v>22.6</v>
      </c>
      <c r="P214" s="1101">
        <v>17.9</v>
      </c>
      <c r="Q214" s="1101">
        <v>12.5</v>
      </c>
      <c r="R214" s="1101">
        <v>6.7</v>
      </c>
      <c r="S214" s="1101">
        <v>2.3</v>
      </c>
      <c r="T214" s="154">
        <v>420</v>
      </c>
      <c r="U214" s="107">
        <v>440</v>
      </c>
      <c r="V214" s="107">
        <v>520</v>
      </c>
      <c r="W214" s="107">
        <v>740</v>
      </c>
      <c r="X214" s="1063"/>
      <c r="Y214" s="1063"/>
      <c r="Z214" s="1063"/>
      <c r="AA214" s="1063"/>
      <c r="AB214" s="1063"/>
      <c r="AC214" s="1063"/>
      <c r="AD214" s="1063"/>
      <c r="AE214" s="1063"/>
      <c r="AF214" s="1102">
        <v>17</v>
      </c>
      <c r="AG214" s="1103">
        <v>752</v>
      </c>
      <c r="AH214" s="1109">
        <v>182</v>
      </c>
      <c r="AI214" s="1103">
        <v>880</v>
      </c>
      <c r="AJ214" s="1104">
        <v>329</v>
      </c>
      <c r="AK214" s="1068">
        <v>7.1</v>
      </c>
      <c r="AL214" s="1068" t="s">
        <v>657</v>
      </c>
      <c r="AM214" s="1105">
        <v>46</v>
      </c>
      <c r="AN214" s="1106"/>
      <c r="AO214"/>
    </row>
    <row r="215" spans="1:41" ht="12.75" customHeight="1">
      <c r="A215" s="1063">
        <v>46</v>
      </c>
      <c r="B215" s="1063"/>
      <c r="C215" s="1034" t="s">
        <v>658</v>
      </c>
      <c r="D215" s="1034" t="s">
        <v>613</v>
      </c>
      <c r="E215" s="1063">
        <v>-42</v>
      </c>
      <c r="F215" s="1063">
        <v>-11</v>
      </c>
      <c r="G215" s="1100">
        <v>285</v>
      </c>
      <c r="H215" s="1101">
        <v>-23.6</v>
      </c>
      <c r="I215" s="1101">
        <v>-22.2</v>
      </c>
      <c r="J215" s="1101">
        <v>-18.3</v>
      </c>
      <c r="K215" s="1101">
        <v>-9.4</v>
      </c>
      <c r="L215" s="1101">
        <v>-1.6</v>
      </c>
      <c r="M215" s="1101">
        <v>7.8</v>
      </c>
      <c r="N215" s="1101">
        <v>13.8</v>
      </c>
      <c r="O215" s="1101">
        <v>11.6</v>
      </c>
      <c r="P215" s="1101">
        <v>5.4</v>
      </c>
      <c r="Q215" s="1101">
        <v>-3.7</v>
      </c>
      <c r="R215" s="1101">
        <v>-15.3</v>
      </c>
      <c r="S215" s="1101">
        <v>-21.2</v>
      </c>
      <c r="T215" s="154">
        <v>140</v>
      </c>
      <c r="U215" s="107">
        <v>150</v>
      </c>
      <c r="V215" s="107">
        <v>240</v>
      </c>
      <c r="W215" s="107">
        <v>400</v>
      </c>
      <c r="X215" s="1063"/>
      <c r="Y215" s="1063"/>
      <c r="Z215" s="1063"/>
      <c r="AA215" s="1063"/>
      <c r="AB215" s="1063"/>
      <c r="AC215" s="1063"/>
      <c r="AD215" s="1063"/>
      <c r="AE215" s="1063"/>
      <c r="AF215" s="1102">
        <v>16.2</v>
      </c>
      <c r="AG215" s="1103">
        <v>812</v>
      </c>
      <c r="AH215" s="1103">
        <v>239</v>
      </c>
      <c r="AI215" s="1104">
        <v>698</v>
      </c>
      <c r="AJ215" s="1104">
        <v>332</v>
      </c>
      <c r="AK215" s="1068">
        <v>6.7</v>
      </c>
      <c r="AL215" s="1068" t="s">
        <v>658</v>
      </c>
      <c r="AM215" s="1105">
        <v>68</v>
      </c>
      <c r="AN215" s="1106"/>
      <c r="AO215"/>
    </row>
    <row r="216" spans="1:41" ht="12.75" customHeight="1">
      <c r="A216" s="1068">
        <v>47</v>
      </c>
      <c r="B216" s="1068"/>
      <c r="C216" s="1034" t="s">
        <v>659</v>
      </c>
      <c r="D216" s="1034" t="s">
        <v>613</v>
      </c>
      <c r="E216" s="1063">
        <v>-23</v>
      </c>
      <c r="F216" s="1063">
        <v>-2.1</v>
      </c>
      <c r="G216" s="1100">
        <v>189</v>
      </c>
      <c r="H216" s="1101">
        <v>-7.3</v>
      </c>
      <c r="I216" s="1101">
        <v>-6.9</v>
      </c>
      <c r="J216" s="1101">
        <v>-1.7</v>
      </c>
      <c r="K216" s="1101">
        <v>7.7</v>
      </c>
      <c r="L216" s="1101">
        <v>15.1</v>
      </c>
      <c r="M216" s="1101">
        <v>18.6</v>
      </c>
      <c r="N216" s="1034">
        <v>20.8</v>
      </c>
      <c r="O216" s="1034">
        <v>19.7</v>
      </c>
      <c r="P216" s="1034">
        <v>14</v>
      </c>
      <c r="Q216" s="1034">
        <v>7.1</v>
      </c>
      <c r="R216" s="1034" t="s">
        <v>660</v>
      </c>
      <c r="S216" s="1034">
        <v>4.8</v>
      </c>
      <c r="T216" s="1034">
        <v>360</v>
      </c>
      <c r="U216" s="1034">
        <v>370</v>
      </c>
      <c r="V216" s="1034">
        <v>460</v>
      </c>
      <c r="W216" s="1034">
        <v>710</v>
      </c>
      <c r="X216" s="1034">
        <v>970</v>
      </c>
      <c r="Y216" s="1034">
        <v>1280</v>
      </c>
      <c r="Z216" s="1034">
        <v>1490</v>
      </c>
      <c r="AA216" s="1034">
        <v>1440</v>
      </c>
      <c r="AB216" s="1034">
        <v>1060</v>
      </c>
      <c r="AC216" s="1034">
        <v>770</v>
      </c>
      <c r="AD216" s="1034">
        <v>600</v>
      </c>
      <c r="AE216" s="1034">
        <v>440</v>
      </c>
      <c r="AF216" s="1102">
        <v>22</v>
      </c>
      <c r="AG216" s="1103">
        <v>781</v>
      </c>
      <c r="AH216" s="1103">
        <v>194</v>
      </c>
      <c r="AI216" s="1104">
        <v>852</v>
      </c>
      <c r="AJ216" s="1104">
        <v>329</v>
      </c>
      <c r="AK216" s="1068">
        <v>6</v>
      </c>
      <c r="AL216" s="1068" t="s">
        <v>659</v>
      </c>
      <c r="AM216" s="1105">
        <v>52</v>
      </c>
      <c r="AN216" s="1106"/>
      <c r="AO216"/>
    </row>
    <row r="217" spans="1:40" s="498" customFormat="1" ht="12.75" customHeight="1">
      <c r="A217" s="1063">
        <v>48</v>
      </c>
      <c r="B217" s="1063"/>
      <c r="C217" s="1068" t="s">
        <v>661</v>
      </c>
      <c r="D217" s="1068" t="s">
        <v>613</v>
      </c>
      <c r="E217" s="1110">
        <v>-20</v>
      </c>
      <c r="F217" s="1110">
        <v>-0.5</v>
      </c>
      <c r="G217" s="1110">
        <v>192</v>
      </c>
      <c r="H217" s="1111">
        <v>-5.1</v>
      </c>
      <c r="I217" s="1111">
        <v>-4.2</v>
      </c>
      <c r="J217" s="1111">
        <v>-0.5</v>
      </c>
      <c r="K217" s="1111">
        <v>6.1</v>
      </c>
      <c r="L217" s="1111">
        <v>12.7</v>
      </c>
      <c r="M217" s="1111">
        <v>15.9</v>
      </c>
      <c r="N217" s="1111">
        <v>17.9</v>
      </c>
      <c r="O217" s="1111">
        <v>16.7</v>
      </c>
      <c r="P217" s="1111">
        <v>12.7</v>
      </c>
      <c r="Q217" s="1111">
        <v>7</v>
      </c>
      <c r="R217" s="1111">
        <v>1.4</v>
      </c>
      <c r="S217" s="1111">
        <v>-2.4</v>
      </c>
      <c r="T217" s="1110">
        <v>420</v>
      </c>
      <c r="U217" s="1110">
        <v>390</v>
      </c>
      <c r="V217" s="1110">
        <v>440</v>
      </c>
      <c r="W217" s="1110">
        <v>700</v>
      </c>
      <c r="X217" s="1110">
        <v>980</v>
      </c>
      <c r="Y217" s="1110">
        <v>1280</v>
      </c>
      <c r="Z217" s="1110">
        <v>1480</v>
      </c>
      <c r="AA217" s="1110">
        <v>1470</v>
      </c>
      <c r="AB217" s="1110">
        <v>1160</v>
      </c>
      <c r="AC217" s="1110">
        <v>840</v>
      </c>
      <c r="AD217" s="1110">
        <v>620</v>
      </c>
      <c r="AE217" s="1110">
        <v>480</v>
      </c>
      <c r="AF217" s="1102">
        <v>20.1</v>
      </c>
      <c r="AG217" s="1103">
        <v>786</v>
      </c>
      <c r="AH217" s="1103">
        <v>201</v>
      </c>
      <c r="AI217" s="1104">
        <v>817</v>
      </c>
      <c r="AJ217" s="1104">
        <v>327</v>
      </c>
      <c r="AK217" s="1068">
        <v>4.9</v>
      </c>
      <c r="AL217" s="1068" t="s">
        <v>661</v>
      </c>
      <c r="AM217" s="1105">
        <v>56</v>
      </c>
      <c r="AN217" s="1112"/>
    </row>
    <row r="218" spans="1:41" ht="12.75" customHeight="1">
      <c r="A218" s="1063">
        <v>49</v>
      </c>
      <c r="B218" s="1063"/>
      <c r="C218" s="1034" t="s">
        <v>671</v>
      </c>
      <c r="D218" s="154" t="s">
        <v>610</v>
      </c>
      <c r="E218" s="155">
        <v>-30</v>
      </c>
      <c r="F218" s="155">
        <v>-6.1</v>
      </c>
      <c r="G218" s="156">
        <v>206</v>
      </c>
      <c r="H218" s="967">
        <v>-13.8</v>
      </c>
      <c r="I218" s="157">
        <v>-13</v>
      </c>
      <c r="J218" s="157">
        <v>-6.8</v>
      </c>
      <c r="K218" s="157">
        <v>4.6</v>
      </c>
      <c r="L218" s="157">
        <v>14</v>
      </c>
      <c r="M218" s="157" t="s">
        <v>641</v>
      </c>
      <c r="N218" s="157">
        <v>20.7</v>
      </c>
      <c r="O218" s="157">
        <v>19</v>
      </c>
      <c r="P218" s="157">
        <v>12.4</v>
      </c>
      <c r="Q218" s="157">
        <v>4.2</v>
      </c>
      <c r="R218" s="157">
        <v>-4.1</v>
      </c>
      <c r="S218" s="158">
        <v>-10.7</v>
      </c>
      <c r="T218" s="159">
        <v>220</v>
      </c>
      <c r="U218" s="160">
        <v>220</v>
      </c>
      <c r="V218" s="160">
        <v>350</v>
      </c>
      <c r="W218" s="160">
        <v>620</v>
      </c>
      <c r="X218" s="160">
        <v>850</v>
      </c>
      <c r="Y218" s="160">
        <v>1210</v>
      </c>
      <c r="Z218" s="160">
        <v>1460</v>
      </c>
      <c r="AA218" s="160">
        <v>1330</v>
      </c>
      <c r="AB218" s="160">
        <v>960</v>
      </c>
      <c r="AC218" s="160">
        <v>630</v>
      </c>
      <c r="AD218" s="160">
        <v>420</v>
      </c>
      <c r="AE218" s="161">
        <v>290</v>
      </c>
      <c r="AF218" s="804">
        <v>18.5</v>
      </c>
      <c r="AG218" s="789">
        <v>781</v>
      </c>
      <c r="AH218" s="789">
        <v>194</v>
      </c>
      <c r="AI218" s="790">
        <v>852</v>
      </c>
      <c r="AJ218" s="805">
        <v>329</v>
      </c>
      <c r="AK218" s="498">
        <v>5.7</v>
      </c>
      <c r="AL218" s="1034" t="s">
        <v>671</v>
      </c>
      <c r="AM218" s="1105"/>
      <c r="AN218" s="1106"/>
      <c r="AO218"/>
    </row>
    <row r="219" spans="1:41" ht="12.75" customHeight="1">
      <c r="A219" s="1063">
        <v>50</v>
      </c>
      <c r="B219" s="1063"/>
      <c r="C219" s="1034"/>
      <c r="D219" s="1034"/>
      <c r="E219" s="1063"/>
      <c r="F219" s="1063"/>
      <c r="G219" s="1063"/>
      <c r="H219" s="1101"/>
      <c r="I219" s="1101"/>
      <c r="J219" s="1101"/>
      <c r="K219" s="1101"/>
      <c r="L219" s="1101"/>
      <c r="M219" s="1101"/>
      <c r="N219" s="1101"/>
      <c r="O219" s="1101"/>
      <c r="P219" s="1101"/>
      <c r="Q219" s="1101"/>
      <c r="R219" s="1101"/>
      <c r="S219" s="1101"/>
      <c r="T219" s="1063"/>
      <c r="U219" s="1063"/>
      <c r="V219" s="1063"/>
      <c r="W219" s="1063"/>
      <c r="X219" s="1063"/>
      <c r="Y219" s="1063"/>
      <c r="Z219" s="1063"/>
      <c r="AA219" s="1063"/>
      <c r="AB219" s="1063"/>
      <c r="AC219" s="1063"/>
      <c r="AD219" s="1063"/>
      <c r="AE219" s="1063"/>
      <c r="AF219" s="1102"/>
      <c r="AG219" s="1103"/>
      <c r="AH219" s="1103"/>
      <c r="AI219" s="1104"/>
      <c r="AJ219" s="1104"/>
      <c r="AK219" s="1068"/>
      <c r="AL219" s="1068"/>
      <c r="AM219" s="1105"/>
      <c r="AN219" s="1106"/>
      <c r="AO219"/>
    </row>
    <row r="220" spans="1:41" ht="12.75" customHeight="1">
      <c r="A220" s="1063">
        <v>51</v>
      </c>
      <c r="B220" s="1063"/>
      <c r="C220" s="1034"/>
      <c r="D220" s="1034"/>
      <c r="E220" s="1034"/>
      <c r="F220" s="1034"/>
      <c r="G220" s="1034"/>
      <c r="H220" s="1102"/>
      <c r="I220" s="1102"/>
      <c r="J220" s="1102"/>
      <c r="K220" s="1102"/>
      <c r="L220" s="1102"/>
      <c r="M220" s="1102"/>
      <c r="N220" s="1102"/>
      <c r="O220" s="1102"/>
      <c r="P220" s="1102"/>
      <c r="Q220" s="1102"/>
      <c r="R220" s="1102"/>
      <c r="S220" s="1102"/>
      <c r="T220" s="1034"/>
      <c r="U220" s="1034"/>
      <c r="V220" s="1034"/>
      <c r="W220" s="1034"/>
      <c r="X220" s="1034"/>
      <c r="Y220" s="1034"/>
      <c r="Z220" s="1034"/>
      <c r="AA220" s="1034"/>
      <c r="AB220" s="1034"/>
      <c r="AC220" s="1034"/>
      <c r="AD220" s="1034"/>
      <c r="AE220" s="1034"/>
      <c r="AF220" s="1102"/>
      <c r="AG220" s="1103"/>
      <c r="AH220" s="1103"/>
      <c r="AI220" s="1104"/>
      <c r="AJ220" s="1104"/>
      <c r="AK220" s="1068"/>
      <c r="AL220" s="1068"/>
      <c r="AM220" s="1105"/>
      <c r="AN220" s="1106"/>
      <c r="AO220"/>
    </row>
    <row r="221" spans="1:41" ht="12.75" customHeight="1">
      <c r="A221" s="1063">
        <v>52</v>
      </c>
      <c r="B221" s="1063"/>
      <c r="C221" s="1034"/>
      <c r="D221" s="1034"/>
      <c r="E221" s="1034"/>
      <c r="F221" s="1034"/>
      <c r="G221" s="1034"/>
      <c r="H221" s="1102"/>
      <c r="I221" s="1102"/>
      <c r="J221" s="1102"/>
      <c r="K221" s="1102"/>
      <c r="L221" s="1102"/>
      <c r="M221" s="1102"/>
      <c r="N221" s="1102"/>
      <c r="O221" s="1102"/>
      <c r="P221" s="1102"/>
      <c r="Q221" s="1102"/>
      <c r="R221" s="1102"/>
      <c r="S221" s="1102"/>
      <c r="T221" s="1102"/>
      <c r="U221" s="1034"/>
      <c r="V221" s="1034"/>
      <c r="W221" s="1034"/>
      <c r="X221" s="1034"/>
      <c r="Y221" s="1034"/>
      <c r="Z221" s="1034"/>
      <c r="AA221" s="1034"/>
      <c r="AB221" s="1034"/>
      <c r="AC221" s="1034"/>
      <c r="AD221" s="1034"/>
      <c r="AE221" s="1034"/>
      <c r="AF221" s="1102"/>
      <c r="AG221" s="1103"/>
      <c r="AH221" s="1103"/>
      <c r="AI221" s="1104"/>
      <c r="AJ221" s="1104"/>
      <c r="AK221" s="1068"/>
      <c r="AL221" s="1068"/>
      <c r="AM221" s="1105"/>
      <c r="AN221" s="1106"/>
      <c r="AO221"/>
    </row>
    <row r="222" spans="1:41" ht="12.75" customHeight="1">
      <c r="A222" s="1063">
        <v>53</v>
      </c>
      <c r="B222" s="1063"/>
      <c r="C222" s="1034"/>
      <c r="D222" s="1034"/>
      <c r="E222" s="1034"/>
      <c r="F222" s="1034"/>
      <c r="G222" s="1034"/>
      <c r="H222" s="1102"/>
      <c r="I222" s="1034"/>
      <c r="J222" s="1034"/>
      <c r="K222" s="1034"/>
      <c r="L222" s="1034"/>
      <c r="M222" s="1034"/>
      <c r="N222" s="106"/>
      <c r="O222" s="1034"/>
      <c r="P222" s="106"/>
      <c r="Q222" s="106"/>
      <c r="R222" s="1034"/>
      <c r="S222" s="1034"/>
      <c r="T222" s="1102"/>
      <c r="U222" s="1034"/>
      <c r="V222" s="1034"/>
      <c r="W222" s="1034"/>
      <c r="X222" s="1034"/>
      <c r="Y222" s="1034"/>
      <c r="Z222" s="1034"/>
      <c r="AA222" s="1034"/>
      <c r="AB222" s="1102"/>
      <c r="AC222" s="1102"/>
      <c r="AD222" s="1102"/>
      <c r="AE222" s="1102"/>
      <c r="AF222" s="1102"/>
      <c r="AG222" s="1103"/>
      <c r="AH222" s="1103"/>
      <c r="AI222" s="1104"/>
      <c r="AJ222" s="1104"/>
      <c r="AK222" s="1068"/>
      <c r="AL222" s="1068"/>
      <c r="AM222" s="1105"/>
      <c r="AN222" s="1106"/>
      <c r="AO222"/>
    </row>
    <row r="223" spans="1:41" ht="12.75" customHeight="1">
      <c r="A223" s="1063">
        <v>54</v>
      </c>
      <c r="B223" s="1063"/>
      <c r="C223" s="1034"/>
      <c r="D223" s="1034"/>
      <c r="E223" s="1034"/>
      <c r="F223" s="1034"/>
      <c r="G223" s="1034"/>
      <c r="H223" s="1102"/>
      <c r="I223" s="1034"/>
      <c r="J223" s="1034"/>
      <c r="K223" s="1034"/>
      <c r="L223" s="1034"/>
      <c r="M223" s="1034"/>
      <c r="N223" s="106"/>
      <c r="O223" s="1034"/>
      <c r="P223" s="106"/>
      <c r="Q223" s="106"/>
      <c r="R223" s="1034"/>
      <c r="S223" s="1034"/>
      <c r="T223" s="1102"/>
      <c r="U223" s="1034"/>
      <c r="V223" s="1034"/>
      <c r="W223" s="1034"/>
      <c r="X223" s="1034"/>
      <c r="Y223" s="1034"/>
      <c r="Z223" s="1034"/>
      <c r="AA223" s="1034"/>
      <c r="AB223" s="1102"/>
      <c r="AC223" s="1102"/>
      <c r="AD223" s="1102"/>
      <c r="AE223" s="1102"/>
      <c r="AF223" s="1102"/>
      <c r="AG223" s="1103"/>
      <c r="AH223" s="1103"/>
      <c r="AI223" s="1104"/>
      <c r="AJ223" s="1104"/>
      <c r="AK223" s="1068"/>
      <c r="AL223" s="1068"/>
      <c r="AM223" s="1105"/>
      <c r="AN223" s="1106"/>
      <c r="AO223"/>
    </row>
    <row r="224" spans="1:41" ht="12.75" customHeight="1">
      <c r="A224" s="1063">
        <v>55</v>
      </c>
      <c r="B224" s="1063"/>
      <c r="C224" s="1034"/>
      <c r="D224" s="1034"/>
      <c r="E224" s="1034"/>
      <c r="F224" s="1034"/>
      <c r="G224" s="1034"/>
      <c r="H224" s="1102"/>
      <c r="I224" s="1034"/>
      <c r="J224" s="1034"/>
      <c r="K224" s="1034"/>
      <c r="L224" s="1034"/>
      <c r="M224" s="1034"/>
      <c r="N224" s="106"/>
      <c r="O224" s="1034"/>
      <c r="P224" s="106"/>
      <c r="Q224" s="106"/>
      <c r="R224" s="1034"/>
      <c r="S224" s="1034"/>
      <c r="T224" s="1102"/>
      <c r="U224" s="1034"/>
      <c r="V224" s="1034"/>
      <c r="W224" s="1034"/>
      <c r="X224" s="1034"/>
      <c r="Y224" s="1034"/>
      <c r="Z224" s="1034"/>
      <c r="AA224" s="1034"/>
      <c r="AB224" s="1102"/>
      <c r="AC224" s="1102"/>
      <c r="AD224" s="1102"/>
      <c r="AE224" s="1102"/>
      <c r="AF224" s="1102"/>
      <c r="AG224" s="1103"/>
      <c r="AH224" s="1103"/>
      <c r="AI224" s="1104"/>
      <c r="AJ224" s="1104"/>
      <c r="AK224" s="1068"/>
      <c r="AL224" s="1068"/>
      <c r="AM224" s="1105"/>
      <c r="AN224" s="1106"/>
      <c r="AO224"/>
    </row>
    <row r="225" spans="1:41" ht="12.75" customHeight="1">
      <c r="A225" s="1063">
        <v>56</v>
      </c>
      <c r="B225" s="1063"/>
      <c r="C225" s="1034"/>
      <c r="D225" s="1034"/>
      <c r="E225" s="1034"/>
      <c r="F225" s="1034"/>
      <c r="G225" s="1034"/>
      <c r="H225" s="1102"/>
      <c r="I225" s="1034"/>
      <c r="J225" s="1034"/>
      <c r="K225" s="1034"/>
      <c r="L225" s="1034"/>
      <c r="M225" s="1034"/>
      <c r="N225" s="106"/>
      <c r="O225" s="1034"/>
      <c r="P225" s="106"/>
      <c r="Q225" s="106"/>
      <c r="R225" s="1034"/>
      <c r="S225" s="1034"/>
      <c r="T225" s="1102"/>
      <c r="U225" s="1034"/>
      <c r="V225" s="1034"/>
      <c r="W225" s="1034"/>
      <c r="X225" s="1034"/>
      <c r="Y225" s="1034"/>
      <c r="Z225" s="1034"/>
      <c r="AA225" s="1034"/>
      <c r="AB225" s="1102"/>
      <c r="AC225" s="1102"/>
      <c r="AD225" s="1102"/>
      <c r="AE225" s="1102"/>
      <c r="AF225" s="1102"/>
      <c r="AG225" s="1103"/>
      <c r="AH225" s="1103"/>
      <c r="AI225" s="1104"/>
      <c r="AJ225" s="1104"/>
      <c r="AK225" s="1068"/>
      <c r="AL225" s="1068"/>
      <c r="AM225" s="1105"/>
      <c r="AN225" s="1106"/>
      <c r="AO225"/>
    </row>
    <row r="226" spans="1:41" ht="12.75" customHeight="1">
      <c r="A226" s="1063">
        <v>57</v>
      </c>
      <c r="B226" s="1063"/>
      <c r="C226" s="1034"/>
      <c r="D226" s="1034"/>
      <c r="E226" s="1034"/>
      <c r="F226" s="1034"/>
      <c r="G226" s="1034"/>
      <c r="H226" s="106"/>
      <c r="I226" s="1034"/>
      <c r="J226" s="1034"/>
      <c r="K226" s="1034"/>
      <c r="L226" s="1034"/>
      <c r="M226" s="1034"/>
      <c r="N226" s="106"/>
      <c r="O226" s="1034"/>
      <c r="P226" s="106"/>
      <c r="Q226" s="106"/>
      <c r="R226" s="1034"/>
      <c r="S226" s="1034"/>
      <c r="T226" s="1102"/>
      <c r="U226" s="1034"/>
      <c r="V226" s="1034"/>
      <c r="W226" s="1034"/>
      <c r="X226" s="1034"/>
      <c r="Y226" s="1034"/>
      <c r="Z226" s="1034"/>
      <c r="AA226" s="1034"/>
      <c r="AB226" s="1102"/>
      <c r="AC226" s="1102"/>
      <c r="AD226" s="1102"/>
      <c r="AE226" s="1102"/>
      <c r="AF226" s="1102"/>
      <c r="AG226" s="1103"/>
      <c r="AH226" s="1103"/>
      <c r="AI226" s="1104"/>
      <c r="AJ226" s="1104"/>
      <c r="AK226" s="1068"/>
      <c r="AL226" s="1068"/>
      <c r="AM226" s="1105"/>
      <c r="AN226" s="1106"/>
      <c r="AO226"/>
    </row>
    <row r="227" spans="1:41" ht="12.75" customHeight="1">
      <c r="A227" s="1063">
        <v>58</v>
      </c>
      <c r="B227" s="1063"/>
      <c r="C227" s="1034"/>
      <c r="D227" s="1034"/>
      <c r="E227" s="1034"/>
      <c r="F227" s="1034"/>
      <c r="G227" s="1034"/>
      <c r="H227" s="106"/>
      <c r="I227" s="1034"/>
      <c r="J227" s="1034"/>
      <c r="K227" s="1034"/>
      <c r="L227" s="1034"/>
      <c r="M227" s="1034"/>
      <c r="N227" s="106"/>
      <c r="O227" s="1034"/>
      <c r="P227" s="106"/>
      <c r="Q227" s="106"/>
      <c r="R227" s="1034"/>
      <c r="S227" s="1034"/>
      <c r="T227" s="1102"/>
      <c r="U227" s="1034"/>
      <c r="V227" s="1034"/>
      <c r="W227" s="1034"/>
      <c r="X227" s="1034"/>
      <c r="Y227" s="1034"/>
      <c r="Z227" s="1034"/>
      <c r="AA227" s="1034"/>
      <c r="AB227" s="1102"/>
      <c r="AC227" s="1102"/>
      <c r="AD227" s="1102"/>
      <c r="AE227" s="1102"/>
      <c r="AF227" s="1102"/>
      <c r="AG227" s="1103"/>
      <c r="AH227" s="1104"/>
      <c r="AI227" s="1104"/>
      <c r="AJ227" s="1104"/>
      <c r="AK227" s="1068"/>
      <c r="AL227" s="1068"/>
      <c r="AM227" s="1112"/>
      <c r="AN227" s="1106"/>
      <c r="AO227"/>
    </row>
    <row r="228" spans="1:41" ht="12.75" customHeight="1">
      <c r="A228" s="1034">
        <v>59</v>
      </c>
      <c r="B228" s="1034"/>
      <c r="C228" s="1034"/>
      <c r="D228" s="1034"/>
      <c r="E228" s="1034"/>
      <c r="F228" s="1034"/>
      <c r="G228" s="1034"/>
      <c r="H228" s="106"/>
      <c r="I228" s="1034"/>
      <c r="J228" s="1034"/>
      <c r="K228" s="1034"/>
      <c r="L228" s="1034"/>
      <c r="M228" s="1034"/>
      <c r="N228" s="106"/>
      <c r="O228" s="1034"/>
      <c r="P228" s="106"/>
      <c r="Q228" s="106"/>
      <c r="R228" s="1034"/>
      <c r="S228" s="1034"/>
      <c r="T228" s="1102"/>
      <c r="U228" s="1034"/>
      <c r="V228" s="1034"/>
      <c r="W228" s="1034"/>
      <c r="X228" s="1034"/>
      <c r="Y228" s="1034"/>
      <c r="Z228" s="1034"/>
      <c r="AA228" s="1034"/>
      <c r="AB228" s="1102"/>
      <c r="AC228" s="1102"/>
      <c r="AD228" s="1102"/>
      <c r="AE228" s="1102"/>
      <c r="AF228" s="1102"/>
      <c r="AG228" s="1103"/>
      <c r="AH228" s="1104"/>
      <c r="AI228" s="1104"/>
      <c r="AJ228" s="1104"/>
      <c r="AK228" s="1068"/>
      <c r="AL228" s="1068"/>
      <c r="AM228" s="1112"/>
      <c r="AN228" s="1106"/>
      <c r="AO228"/>
    </row>
    <row r="229" spans="1:41" ht="12.75" customHeight="1">
      <c r="A229" s="1034">
        <v>60</v>
      </c>
      <c r="B229" s="1034"/>
      <c r="C229" s="1063"/>
      <c r="D229" s="1034"/>
      <c r="E229" s="1034"/>
      <c r="F229" s="1034"/>
      <c r="G229" s="1034"/>
      <c r="H229" s="106"/>
      <c r="I229" s="1034"/>
      <c r="J229" s="1034"/>
      <c r="K229" s="1034"/>
      <c r="L229" s="1034"/>
      <c r="M229" s="1034"/>
      <c r="N229" s="1034"/>
      <c r="O229" s="106"/>
      <c r="P229" s="1034"/>
      <c r="Q229" s="106"/>
      <c r="R229" s="106"/>
      <c r="S229" s="1034"/>
      <c r="T229" s="1034"/>
      <c r="U229" s="1102"/>
      <c r="V229" s="1034"/>
      <c r="W229" s="1034"/>
      <c r="X229" s="1034"/>
      <c r="Y229" s="1034"/>
      <c r="Z229" s="1034"/>
      <c r="AA229" s="1034"/>
      <c r="AB229" s="1034"/>
      <c r="AC229" s="1102"/>
      <c r="AD229" s="1102"/>
      <c r="AE229" s="1102"/>
      <c r="AF229" s="1102"/>
      <c r="AG229" s="1103"/>
      <c r="AH229" s="1104"/>
      <c r="AI229" s="1104"/>
      <c r="AJ229" s="1104"/>
      <c r="AK229" s="1110"/>
      <c r="AL229" s="1112"/>
      <c r="AM229" s="1112"/>
      <c r="AN229" s="1106"/>
      <c r="AO229"/>
    </row>
    <row r="230" spans="1:41" ht="12.75" customHeight="1">
      <c r="A230" s="1034">
        <v>61</v>
      </c>
      <c r="B230" s="1034"/>
      <c r="C230" s="1063"/>
      <c r="D230" s="1034"/>
      <c r="E230" s="1034"/>
      <c r="F230" s="1034"/>
      <c r="G230" s="1034"/>
      <c r="H230" s="106"/>
      <c r="I230" s="1034"/>
      <c r="J230" s="1034"/>
      <c r="K230" s="1034"/>
      <c r="L230" s="1034"/>
      <c r="M230" s="1034"/>
      <c r="N230" s="1034"/>
      <c r="O230" s="106"/>
      <c r="P230" s="1034"/>
      <c r="Q230" s="106"/>
      <c r="R230" s="106"/>
      <c r="S230" s="1034"/>
      <c r="T230" s="1034"/>
      <c r="U230" s="1102"/>
      <c r="V230" s="1034"/>
      <c r="W230" s="1034"/>
      <c r="X230" s="1034"/>
      <c r="Y230" s="1034"/>
      <c r="Z230" s="1034"/>
      <c r="AA230" s="1034"/>
      <c r="AB230" s="1034"/>
      <c r="AC230" s="1102"/>
      <c r="AD230" s="1102"/>
      <c r="AE230" s="1102"/>
      <c r="AF230" s="1102"/>
      <c r="AG230" s="1113"/>
      <c r="AH230" s="1104"/>
      <c r="AI230" s="1104"/>
      <c r="AJ230" s="1104"/>
      <c r="AK230" s="1112"/>
      <c r="AL230" s="1112"/>
      <c r="AM230" s="1112"/>
      <c r="AN230" s="1106"/>
      <c r="AO230"/>
    </row>
    <row r="231" spans="1:41" ht="12.75" customHeight="1">
      <c r="A231" s="1034">
        <v>62</v>
      </c>
      <c r="B231" s="1034"/>
      <c r="C231" s="1063"/>
      <c r="D231" s="1034"/>
      <c r="E231" s="1034"/>
      <c r="F231" s="1034"/>
      <c r="G231" s="1034"/>
      <c r="H231" s="106"/>
      <c r="I231" s="1034"/>
      <c r="J231" s="1034"/>
      <c r="K231" s="1034"/>
      <c r="L231" s="1034"/>
      <c r="M231" s="1034"/>
      <c r="N231" s="1034"/>
      <c r="O231" s="106"/>
      <c r="P231" s="1034"/>
      <c r="Q231" s="106"/>
      <c r="R231" s="106"/>
      <c r="S231" s="1034"/>
      <c r="T231" s="1034"/>
      <c r="U231" s="1102"/>
      <c r="V231" s="1034"/>
      <c r="W231" s="1034"/>
      <c r="X231" s="1034"/>
      <c r="Y231" s="1034"/>
      <c r="Z231" s="1034"/>
      <c r="AA231" s="1034"/>
      <c r="AB231" s="1034"/>
      <c r="AC231" s="1102"/>
      <c r="AD231" s="1102"/>
      <c r="AE231" s="1102"/>
      <c r="AF231" s="1102"/>
      <c r="AG231" s="1113"/>
      <c r="AH231" s="1104"/>
      <c r="AI231" s="1104"/>
      <c r="AJ231" s="1104"/>
      <c r="AK231" s="1112"/>
      <c r="AL231" s="1112"/>
      <c r="AM231" s="1112"/>
      <c r="AN231" s="1106"/>
      <c r="AO231"/>
    </row>
    <row r="232" spans="1:41" ht="12.75" customHeight="1">
      <c r="A232" s="1034">
        <v>63</v>
      </c>
      <c r="B232" s="1034"/>
      <c r="C232" s="1034"/>
      <c r="D232" s="1034"/>
      <c r="E232" s="1034"/>
      <c r="F232" s="1034"/>
      <c r="G232" s="1034"/>
      <c r="H232" s="106"/>
      <c r="I232" s="1034"/>
      <c r="J232" s="1034"/>
      <c r="K232" s="1034"/>
      <c r="L232" s="1034"/>
      <c r="M232" s="1034"/>
      <c r="N232" s="1034"/>
      <c r="O232" s="106"/>
      <c r="P232" s="1034"/>
      <c r="Q232" s="106"/>
      <c r="R232" s="106"/>
      <c r="S232" s="1034"/>
      <c r="T232" s="1034"/>
      <c r="U232" s="1102"/>
      <c r="V232" s="1034"/>
      <c r="W232" s="1034"/>
      <c r="X232" s="1034"/>
      <c r="Y232" s="1034"/>
      <c r="Z232" s="1034"/>
      <c r="AA232" s="1034"/>
      <c r="AB232" s="1034"/>
      <c r="AC232" s="1102"/>
      <c r="AD232" s="1102"/>
      <c r="AE232" s="1102"/>
      <c r="AF232" s="1102"/>
      <c r="AG232" s="1113"/>
      <c r="AH232" s="1104"/>
      <c r="AI232" s="1104"/>
      <c r="AJ232" s="1104"/>
      <c r="AK232" s="1112"/>
      <c r="AL232" s="1112"/>
      <c r="AM232" s="1112"/>
      <c r="AN232" s="1106"/>
      <c r="AO232"/>
    </row>
    <row r="233" spans="1:41" ht="12.75" customHeight="1">
      <c r="A233" s="1034">
        <v>64</v>
      </c>
      <c r="B233" s="1034"/>
      <c r="C233" s="1034"/>
      <c r="D233" s="1034"/>
      <c r="E233" s="1034"/>
      <c r="F233" s="1034"/>
      <c r="G233" s="1034"/>
      <c r="H233" s="106"/>
      <c r="I233" s="1034"/>
      <c r="J233" s="1034"/>
      <c r="K233" s="1034"/>
      <c r="L233" s="1034"/>
      <c r="M233" s="1034"/>
      <c r="N233" s="1034"/>
      <c r="O233" s="106"/>
      <c r="P233" s="1034"/>
      <c r="Q233" s="106"/>
      <c r="R233" s="106"/>
      <c r="S233" s="1034"/>
      <c r="T233" s="1034"/>
      <c r="U233" s="1102"/>
      <c r="V233" s="1034"/>
      <c r="W233" s="1034"/>
      <c r="X233" s="1034"/>
      <c r="Y233" s="1034"/>
      <c r="Z233" s="1034"/>
      <c r="AA233" s="1034"/>
      <c r="AB233" s="1034"/>
      <c r="AC233" s="1102"/>
      <c r="AD233" s="1102"/>
      <c r="AE233" s="1102"/>
      <c r="AF233" s="1102"/>
      <c r="AG233" s="1113"/>
      <c r="AH233" s="1104"/>
      <c r="AI233" s="1104"/>
      <c r="AJ233" s="1104"/>
      <c r="AK233" s="1112"/>
      <c r="AL233" s="1112"/>
      <c r="AM233" s="1112"/>
      <c r="AN233" s="1106"/>
      <c r="AO233"/>
    </row>
    <row r="234" spans="1:41" ht="12.75" customHeight="1">
      <c r="A234" s="1034">
        <v>65</v>
      </c>
      <c r="B234" s="1034"/>
      <c r="C234" s="1034"/>
      <c r="D234" s="1034"/>
      <c r="E234" s="1034"/>
      <c r="F234" s="1034"/>
      <c r="G234" s="1034"/>
      <c r="H234" s="106"/>
      <c r="I234" s="1034"/>
      <c r="J234" s="1034"/>
      <c r="K234" s="1034"/>
      <c r="L234" s="1034"/>
      <c r="M234" s="1034"/>
      <c r="N234" s="1034"/>
      <c r="O234" s="106"/>
      <c r="P234" s="1034"/>
      <c r="Q234" s="106"/>
      <c r="R234" s="106"/>
      <c r="S234" s="1034"/>
      <c r="T234" s="1034"/>
      <c r="U234" s="1102"/>
      <c r="V234" s="1034"/>
      <c r="W234" s="1034"/>
      <c r="X234" s="1034"/>
      <c r="Y234" s="1034"/>
      <c r="Z234" s="1034"/>
      <c r="AA234" s="1034"/>
      <c r="AB234" s="1034"/>
      <c r="AC234" s="1102"/>
      <c r="AD234" s="1102"/>
      <c r="AE234" s="1102"/>
      <c r="AF234" s="1102"/>
      <c r="AG234" s="1113"/>
      <c r="AH234" s="1104"/>
      <c r="AI234" s="1104"/>
      <c r="AJ234" s="1104"/>
      <c r="AK234" s="1112"/>
      <c r="AL234" s="1112"/>
      <c r="AM234" s="1112"/>
      <c r="AN234" s="1106"/>
      <c r="AO234"/>
    </row>
    <row r="235" spans="1:41" ht="12.75" customHeight="1">
      <c r="A235" s="1034">
        <v>66</v>
      </c>
      <c r="B235" s="1034"/>
      <c r="C235" s="1034"/>
      <c r="D235" s="1034"/>
      <c r="E235" s="1034"/>
      <c r="F235" s="1034"/>
      <c r="G235" s="1034"/>
      <c r="H235" s="106"/>
      <c r="I235" s="1034"/>
      <c r="J235" s="1034"/>
      <c r="K235" s="1034"/>
      <c r="L235" s="1034"/>
      <c r="M235" s="1034"/>
      <c r="N235" s="1034"/>
      <c r="O235" s="106"/>
      <c r="P235" s="1034"/>
      <c r="Q235" s="106"/>
      <c r="R235" s="106"/>
      <c r="S235" s="1034"/>
      <c r="T235" s="1034"/>
      <c r="U235" s="1102"/>
      <c r="V235" s="1034"/>
      <c r="W235" s="1034"/>
      <c r="X235" s="1034"/>
      <c r="Y235" s="1034"/>
      <c r="Z235" s="1034"/>
      <c r="AA235" s="1034"/>
      <c r="AB235" s="1034"/>
      <c r="AC235" s="1102"/>
      <c r="AD235" s="1102"/>
      <c r="AE235" s="1102"/>
      <c r="AF235" s="1102"/>
      <c r="AG235" s="1113"/>
      <c r="AH235" s="1104"/>
      <c r="AI235" s="1104"/>
      <c r="AJ235" s="1104"/>
      <c r="AK235" s="1112"/>
      <c r="AL235" s="1112"/>
      <c r="AM235" s="1112"/>
      <c r="AN235" s="1106"/>
      <c r="AO235"/>
    </row>
    <row r="236" spans="1:41" ht="12.75" customHeight="1">
      <c r="A236" s="1034">
        <v>67</v>
      </c>
      <c r="B236" s="1034"/>
      <c r="C236" s="1034"/>
      <c r="D236" s="1034"/>
      <c r="E236" s="1034"/>
      <c r="F236" s="1034"/>
      <c r="G236" s="1034"/>
      <c r="H236" s="106"/>
      <c r="I236" s="1034"/>
      <c r="J236" s="1034"/>
      <c r="K236" s="1034"/>
      <c r="L236" s="1034"/>
      <c r="M236" s="1034"/>
      <c r="N236" s="1034"/>
      <c r="O236" s="106"/>
      <c r="P236" s="1034"/>
      <c r="Q236" s="106"/>
      <c r="R236" s="106"/>
      <c r="S236" s="1034"/>
      <c r="T236" s="1034"/>
      <c r="U236" s="1102"/>
      <c r="V236" s="1034"/>
      <c r="W236" s="1034"/>
      <c r="X236" s="1034"/>
      <c r="Y236" s="1034"/>
      <c r="Z236" s="1034"/>
      <c r="AA236" s="1034"/>
      <c r="AB236" s="1034"/>
      <c r="AC236" s="1102"/>
      <c r="AD236" s="1102"/>
      <c r="AE236" s="1102"/>
      <c r="AF236" s="1102"/>
      <c r="AG236" s="1113"/>
      <c r="AH236" s="1104"/>
      <c r="AI236" s="1104"/>
      <c r="AJ236" s="1104"/>
      <c r="AK236" s="1112"/>
      <c r="AL236" s="1112"/>
      <c r="AM236" s="1112"/>
      <c r="AN236" s="1106"/>
      <c r="AO236"/>
    </row>
    <row r="237" spans="1:41" ht="12.75" customHeight="1">
      <c r="A237" s="1034">
        <v>68</v>
      </c>
      <c r="B237" s="1034"/>
      <c r="C237" s="1034"/>
      <c r="D237" s="1034"/>
      <c r="E237" s="1034"/>
      <c r="F237" s="1034"/>
      <c r="G237" s="1034"/>
      <c r="H237" s="106"/>
      <c r="I237" s="1034"/>
      <c r="J237" s="1034"/>
      <c r="K237" s="1034"/>
      <c r="L237" s="1034"/>
      <c r="M237" s="1034"/>
      <c r="N237" s="1034"/>
      <c r="O237" s="106"/>
      <c r="P237" s="1034"/>
      <c r="Q237" s="106"/>
      <c r="R237" s="106"/>
      <c r="S237" s="1034"/>
      <c r="T237" s="1034"/>
      <c r="U237" s="1102"/>
      <c r="V237" s="1034"/>
      <c r="W237" s="1034"/>
      <c r="X237" s="1034"/>
      <c r="Y237" s="1034"/>
      <c r="Z237" s="1034"/>
      <c r="AA237" s="1034"/>
      <c r="AB237" s="1034"/>
      <c r="AC237" s="1102"/>
      <c r="AD237" s="1102"/>
      <c r="AE237" s="1102"/>
      <c r="AF237" s="1102"/>
      <c r="AG237" s="1113"/>
      <c r="AH237" s="1104"/>
      <c r="AI237" s="1104"/>
      <c r="AJ237" s="1104"/>
      <c r="AK237" s="1112"/>
      <c r="AL237" s="1112"/>
      <c r="AM237" s="1112"/>
      <c r="AN237" s="1106"/>
      <c r="AO237"/>
    </row>
    <row r="238" spans="1:41" ht="12.75" customHeight="1">
      <c r="A238" s="1034">
        <v>69</v>
      </c>
      <c r="B238" s="1034"/>
      <c r="C238" s="1034"/>
      <c r="D238" s="1034"/>
      <c r="E238" s="1034"/>
      <c r="F238" s="1034"/>
      <c r="G238" s="1034"/>
      <c r="H238" s="106"/>
      <c r="I238" s="1034"/>
      <c r="J238" s="1034"/>
      <c r="K238" s="1034"/>
      <c r="L238" s="1034"/>
      <c r="M238" s="1034"/>
      <c r="N238" s="1034"/>
      <c r="O238" s="106"/>
      <c r="P238" s="1034"/>
      <c r="Q238" s="106"/>
      <c r="R238" s="106"/>
      <c r="S238" s="1034"/>
      <c r="T238" s="1034"/>
      <c r="U238" s="1102"/>
      <c r="V238" s="1034"/>
      <c r="W238" s="1034"/>
      <c r="X238" s="1034"/>
      <c r="Y238" s="1034"/>
      <c r="Z238" s="1034"/>
      <c r="AA238" s="1034"/>
      <c r="AB238" s="1034"/>
      <c r="AC238" s="1102"/>
      <c r="AD238" s="1102"/>
      <c r="AE238" s="1102"/>
      <c r="AF238" s="1102"/>
      <c r="AG238" s="1113"/>
      <c r="AH238" s="1104"/>
      <c r="AI238" s="1104"/>
      <c r="AJ238" s="1104"/>
      <c r="AK238" s="1112"/>
      <c r="AL238" s="1112"/>
      <c r="AM238" s="1112"/>
      <c r="AN238" s="1106"/>
      <c r="AO238"/>
    </row>
    <row r="239" spans="1:41" ht="12.75" customHeight="1">
      <c r="A239" s="1034">
        <v>70</v>
      </c>
      <c r="B239" s="1034"/>
      <c r="C239" s="1034"/>
      <c r="D239" s="1034"/>
      <c r="E239" s="1034"/>
      <c r="F239" s="1034"/>
      <c r="G239" s="1034"/>
      <c r="H239" s="106"/>
      <c r="I239" s="1034"/>
      <c r="J239" s="1034"/>
      <c r="K239" s="1034"/>
      <c r="L239" s="1034"/>
      <c r="M239" s="1034"/>
      <c r="N239" s="1034"/>
      <c r="O239" s="106"/>
      <c r="P239" s="1034"/>
      <c r="Q239" s="106"/>
      <c r="R239" s="106"/>
      <c r="S239" s="1034"/>
      <c r="T239" s="1034"/>
      <c r="U239" s="1102"/>
      <c r="V239" s="1034"/>
      <c r="W239" s="1034"/>
      <c r="X239" s="1034"/>
      <c r="Y239" s="1034"/>
      <c r="Z239" s="1034"/>
      <c r="AA239" s="1034"/>
      <c r="AB239" s="1034"/>
      <c r="AC239" s="1102"/>
      <c r="AD239" s="1102"/>
      <c r="AE239" s="1102"/>
      <c r="AF239" s="1102"/>
      <c r="AG239" s="1113"/>
      <c r="AH239" s="1104"/>
      <c r="AI239" s="1104"/>
      <c r="AJ239" s="1104"/>
      <c r="AK239" s="1112"/>
      <c r="AL239" s="1112"/>
      <c r="AM239" s="1112"/>
      <c r="AN239" s="1106"/>
      <c r="AO239"/>
    </row>
    <row r="240" spans="3:41" ht="12.75" customHeight="1">
      <c r="C240" s="1034"/>
      <c r="D240" s="1034"/>
      <c r="E240" s="1034"/>
      <c r="F240" s="1034"/>
      <c r="G240" s="1034"/>
      <c r="H240" s="106"/>
      <c r="I240" s="1034"/>
      <c r="J240" s="1034"/>
      <c r="K240" s="1034"/>
      <c r="L240" s="1034"/>
      <c r="M240" s="1034"/>
      <c r="N240" s="1034"/>
      <c r="O240" s="106"/>
      <c r="P240" s="1034"/>
      <c r="Q240" s="106"/>
      <c r="R240" s="106"/>
      <c r="S240" s="1034"/>
      <c r="T240" s="1034"/>
      <c r="U240" s="1102"/>
      <c r="V240" s="1034"/>
      <c r="W240" s="1034"/>
      <c r="X240" s="1034"/>
      <c r="Y240" s="1034"/>
      <c r="Z240" s="1034"/>
      <c r="AA240" s="1034"/>
      <c r="AB240" s="1034"/>
      <c r="AC240" s="1102"/>
      <c r="AD240" s="1102"/>
      <c r="AE240" s="1102"/>
      <c r="AF240" s="1102"/>
      <c r="AG240" s="1113"/>
      <c r="AH240" s="1104"/>
      <c r="AI240" s="1104"/>
      <c r="AJ240" s="1104"/>
      <c r="AK240" s="1112"/>
      <c r="AL240" s="1112"/>
      <c r="AM240" s="1112"/>
      <c r="AN240" s="1106"/>
      <c r="AO240"/>
    </row>
    <row r="241" spans="1:41" ht="12.75" customHeight="1">
      <c r="A241" s="1114">
        <f>1Tепло!AD28</f>
        <v>18</v>
      </c>
      <c r="B241" s="1114"/>
      <c r="C241" s="1034"/>
      <c r="D241" s="1034"/>
      <c r="E241" s="1034"/>
      <c r="F241" s="1034"/>
      <c r="G241" s="1034"/>
      <c r="H241" s="106"/>
      <c r="I241" s="1034"/>
      <c r="J241" s="1034"/>
      <c r="K241" s="1034"/>
      <c r="L241" s="1034"/>
      <c r="M241" s="4"/>
      <c r="O241" s="106"/>
      <c r="P241" s="1034"/>
      <c r="Q241" s="106"/>
      <c r="R241" s="106"/>
      <c r="S241" s="1034"/>
      <c r="T241" s="1034"/>
      <c r="U241" s="1102"/>
      <c r="V241" s="1034"/>
      <c r="W241" s="1034"/>
      <c r="X241" s="1034"/>
      <c r="Y241" s="1034"/>
      <c r="Z241" s="1034"/>
      <c r="AA241" s="1034"/>
      <c r="AB241" s="1034"/>
      <c r="AC241" s="1102"/>
      <c r="AD241" s="1102"/>
      <c r="AE241" s="1102"/>
      <c r="AF241" s="1034">
        <f>INDEX(AF171:AF240,A241,1)</f>
        <v>18.5</v>
      </c>
      <c r="AG241" s="1113"/>
      <c r="AH241" s="1104"/>
      <c r="AI241" s="1104"/>
      <c r="AJ241" s="1104"/>
      <c r="AK241" s="1034">
        <f>INDEX(AK171:AK240,A241,1)</f>
        <v>4.9</v>
      </c>
      <c r="AL241" s="1112"/>
      <c r="AM241" s="1034">
        <f>INDEX(AM171:AM240,A241,1)</f>
        <v>56</v>
      </c>
      <c r="AN241" s="1106"/>
      <c r="AO241"/>
    </row>
    <row r="242" spans="4:41" ht="12.75" customHeight="1">
      <c r="D242"/>
      <c r="H242" s="1"/>
      <c r="I242"/>
      <c r="P242"/>
      <c r="R242"/>
      <c r="S242"/>
      <c r="V242"/>
      <c r="AD242"/>
      <c r="AE242"/>
      <c r="AG242" s="787"/>
      <c r="AH242" s="788"/>
      <c r="AK242" s="777"/>
      <c r="AN242" s="2"/>
      <c r="AO242"/>
    </row>
    <row r="243" spans="4:41" ht="12.75" customHeight="1">
      <c r="D243"/>
      <c r="H243" s="1"/>
      <c r="I243"/>
      <c r="P243"/>
      <c r="R243"/>
      <c r="S243"/>
      <c r="V243"/>
      <c r="AD243"/>
      <c r="AE243"/>
      <c r="AG243" s="787"/>
      <c r="AH243" s="788"/>
      <c r="AK243" s="777"/>
      <c r="AN243" s="2"/>
      <c r="AO243"/>
    </row>
    <row r="244" spans="4:41" ht="12.75" customHeight="1">
      <c r="D244"/>
      <c r="H244" s="1"/>
      <c r="I244"/>
      <c r="P244"/>
      <c r="R244"/>
      <c r="S244"/>
      <c r="V244"/>
      <c r="AD244"/>
      <c r="AE244"/>
      <c r="AG244" s="787"/>
      <c r="AH244" s="788"/>
      <c r="AK244" s="777"/>
      <c r="AN244" s="2"/>
      <c r="AO244"/>
    </row>
    <row r="245" spans="3:41" ht="12.75" customHeight="1">
      <c r="C245" s="3" t="s">
        <v>662</v>
      </c>
      <c r="D245"/>
      <c r="H245" s="1"/>
      <c r="I245"/>
      <c r="P245"/>
      <c r="R245"/>
      <c r="S245"/>
      <c r="V245"/>
      <c r="AC245" s="2"/>
      <c r="AG245" s="787"/>
      <c r="AH245" s="788"/>
      <c r="AK245" s="777"/>
      <c r="AN245" s="2"/>
      <c r="AO245"/>
    </row>
    <row r="246" spans="1:41" ht="12.75" customHeight="1" thickBot="1">
      <c r="A246" s="40" t="s">
        <v>663</v>
      </c>
      <c r="B246" s="40"/>
      <c r="C246" s="5" t="s">
        <v>664</v>
      </c>
      <c r="D246" s="4">
        <v>0</v>
      </c>
      <c r="E246" s="4">
        <v>0.1</v>
      </c>
      <c r="F246" s="4">
        <v>0.2</v>
      </c>
      <c r="G246" s="4">
        <v>0.3</v>
      </c>
      <c r="H246" s="1016">
        <v>0.4</v>
      </c>
      <c r="I246" s="4">
        <v>0.5</v>
      </c>
      <c r="J246" s="4">
        <v>0.6</v>
      </c>
      <c r="K246" s="4">
        <v>0.7</v>
      </c>
      <c r="L246" s="4">
        <v>0.8</v>
      </c>
      <c r="M246" s="4">
        <v>0.9</v>
      </c>
      <c r="P246"/>
      <c r="R246"/>
      <c r="S246"/>
      <c r="V246"/>
      <c r="AC246" s="2"/>
      <c r="AG246" s="787"/>
      <c r="AH246" s="788"/>
      <c r="AK246" s="777"/>
      <c r="AN246" s="2"/>
      <c r="AO246"/>
    </row>
    <row r="247" spans="1:41" ht="12.75" customHeight="1">
      <c r="A247" s="3">
        <v>1</v>
      </c>
      <c r="B247" s="3"/>
      <c r="C247" s="4">
        <v>-40</v>
      </c>
      <c r="D247" s="18">
        <v>12</v>
      </c>
      <c r="E247" s="42">
        <v>12</v>
      </c>
      <c r="F247" s="42">
        <v>12</v>
      </c>
      <c r="G247" s="42">
        <v>12</v>
      </c>
      <c r="H247" s="1017">
        <v>12</v>
      </c>
      <c r="I247" s="42">
        <v>12</v>
      </c>
      <c r="J247" s="42">
        <v>12</v>
      </c>
      <c r="K247" s="42">
        <v>12</v>
      </c>
      <c r="L247" s="42">
        <v>12</v>
      </c>
      <c r="M247" s="42">
        <v>12</v>
      </c>
      <c r="N247" s="19">
        <v>14</v>
      </c>
      <c r="P247"/>
      <c r="R247"/>
      <c r="S247"/>
      <c r="V247"/>
      <c r="AC247" s="2"/>
      <c r="AG247" s="787"/>
      <c r="AH247" s="788"/>
      <c r="AK247" s="777"/>
      <c r="AN247" s="2"/>
      <c r="AO247"/>
    </row>
    <row r="248" spans="1:41" ht="12.75" customHeight="1">
      <c r="A248" s="3">
        <v>2</v>
      </c>
      <c r="B248" s="3"/>
      <c r="C248" s="4">
        <v>-39</v>
      </c>
      <c r="D248" s="19">
        <v>14</v>
      </c>
      <c r="E248" s="4">
        <v>14</v>
      </c>
      <c r="F248" s="4">
        <v>14</v>
      </c>
      <c r="G248" s="4">
        <v>14</v>
      </c>
      <c r="H248" s="1016">
        <v>14</v>
      </c>
      <c r="I248" s="4">
        <v>14</v>
      </c>
      <c r="J248" s="4">
        <v>14</v>
      </c>
      <c r="K248" s="4">
        <v>14</v>
      </c>
      <c r="L248" s="4">
        <v>14</v>
      </c>
      <c r="M248" s="4">
        <v>14</v>
      </c>
      <c r="N248" s="19">
        <v>16</v>
      </c>
      <c r="P248"/>
      <c r="R248"/>
      <c r="S248"/>
      <c r="V248"/>
      <c r="AC248" s="2"/>
      <c r="AG248" s="787"/>
      <c r="AH248" s="788"/>
      <c r="AK248" s="777"/>
      <c r="AN248" s="2"/>
      <c r="AO248"/>
    </row>
    <row r="249" spans="1:41" ht="12.75" customHeight="1">
      <c r="A249" s="3">
        <v>3</v>
      </c>
      <c r="B249" s="3"/>
      <c r="C249" s="4">
        <v>-38</v>
      </c>
      <c r="D249" s="19">
        <v>16</v>
      </c>
      <c r="E249" s="4">
        <v>16</v>
      </c>
      <c r="F249" s="4">
        <v>16</v>
      </c>
      <c r="G249" s="4">
        <v>16</v>
      </c>
      <c r="H249" s="1016">
        <v>16</v>
      </c>
      <c r="I249" s="4">
        <v>16</v>
      </c>
      <c r="J249" s="4">
        <v>16</v>
      </c>
      <c r="K249" s="4">
        <v>16</v>
      </c>
      <c r="L249" s="4">
        <v>16</v>
      </c>
      <c r="M249" s="4">
        <v>16</v>
      </c>
      <c r="N249" s="19">
        <v>18</v>
      </c>
      <c r="P249"/>
      <c r="R249"/>
      <c r="S249"/>
      <c r="V249"/>
      <c r="AC249" s="2"/>
      <c r="AG249" s="787"/>
      <c r="AH249" s="788"/>
      <c r="AK249" s="777"/>
      <c r="AN249" s="2"/>
      <c r="AO249"/>
    </row>
    <row r="250" spans="1:41" ht="12.75" customHeight="1">
      <c r="A250" s="3">
        <v>4</v>
      </c>
      <c r="B250" s="3"/>
      <c r="C250" s="4">
        <v>-37</v>
      </c>
      <c r="D250" s="19">
        <v>18</v>
      </c>
      <c r="E250" s="4">
        <v>18</v>
      </c>
      <c r="F250" s="4">
        <v>18</v>
      </c>
      <c r="G250" s="4">
        <v>18</v>
      </c>
      <c r="H250" s="1016">
        <v>18</v>
      </c>
      <c r="I250" s="4">
        <v>18</v>
      </c>
      <c r="J250" s="4">
        <v>18</v>
      </c>
      <c r="K250" s="4">
        <v>18</v>
      </c>
      <c r="L250" s="4">
        <v>18</v>
      </c>
      <c r="M250" s="4">
        <v>18</v>
      </c>
      <c r="N250" s="19">
        <v>20</v>
      </c>
      <c r="P250"/>
      <c r="R250"/>
      <c r="S250"/>
      <c r="V250"/>
      <c r="AC250" s="2"/>
      <c r="AG250" s="787"/>
      <c r="AH250" s="788"/>
      <c r="AK250" s="777"/>
      <c r="AN250" s="2"/>
      <c r="AO250"/>
    </row>
    <row r="251" spans="1:41" ht="12.75" customHeight="1">
      <c r="A251" s="3">
        <v>5</v>
      </c>
      <c r="B251" s="3"/>
      <c r="C251" s="4">
        <v>-36</v>
      </c>
      <c r="D251" s="19">
        <v>20</v>
      </c>
      <c r="E251" s="4">
        <v>20</v>
      </c>
      <c r="F251" s="4">
        <v>20</v>
      </c>
      <c r="G251" s="4">
        <v>20</v>
      </c>
      <c r="H251" s="1016">
        <v>20</v>
      </c>
      <c r="I251" s="4">
        <v>20</v>
      </c>
      <c r="J251" s="4">
        <v>20</v>
      </c>
      <c r="K251" s="4">
        <v>20</v>
      </c>
      <c r="L251" s="4">
        <v>20</v>
      </c>
      <c r="M251" s="4">
        <v>20</v>
      </c>
      <c r="N251" s="19">
        <v>22</v>
      </c>
      <c r="P251"/>
      <c r="R251"/>
      <c r="S251"/>
      <c r="V251"/>
      <c r="AC251" s="2"/>
      <c r="AG251" s="787"/>
      <c r="AH251" s="788"/>
      <c r="AK251" s="777"/>
      <c r="AN251" s="2"/>
      <c r="AO251"/>
    </row>
    <row r="252" spans="1:41" ht="12.75" customHeight="1">
      <c r="A252" s="3">
        <v>6</v>
      </c>
      <c r="B252" s="3"/>
      <c r="C252" s="4">
        <v>-35</v>
      </c>
      <c r="D252" s="19">
        <v>22</v>
      </c>
      <c r="E252" s="4">
        <v>22</v>
      </c>
      <c r="F252" s="4">
        <v>22</v>
      </c>
      <c r="G252" s="4">
        <v>22</v>
      </c>
      <c r="H252" s="1016">
        <v>22</v>
      </c>
      <c r="I252" s="4">
        <v>22</v>
      </c>
      <c r="J252" s="4">
        <v>22</v>
      </c>
      <c r="K252" s="4">
        <v>22</v>
      </c>
      <c r="L252" s="4">
        <v>22</v>
      </c>
      <c r="M252" s="4">
        <v>22</v>
      </c>
      <c r="N252" s="19">
        <v>25</v>
      </c>
      <c r="P252"/>
      <c r="R252"/>
      <c r="S252"/>
      <c r="V252"/>
      <c r="AC252" s="2"/>
      <c r="AG252" s="787"/>
      <c r="AH252" s="788"/>
      <c r="AK252" s="777"/>
      <c r="AN252" s="2"/>
      <c r="AO252"/>
    </row>
    <row r="253" spans="1:41" ht="12.75" customHeight="1">
      <c r="A253" s="3">
        <v>7</v>
      </c>
      <c r="B253" s="3"/>
      <c r="C253" s="4">
        <v>-34</v>
      </c>
      <c r="D253" s="19">
        <v>25</v>
      </c>
      <c r="E253" s="4">
        <v>25</v>
      </c>
      <c r="F253" s="4">
        <v>25</v>
      </c>
      <c r="G253" s="4">
        <v>25</v>
      </c>
      <c r="H253" s="1016">
        <v>25</v>
      </c>
      <c r="I253" s="4">
        <v>25</v>
      </c>
      <c r="J253" s="4">
        <v>25</v>
      </c>
      <c r="K253" s="4">
        <v>25</v>
      </c>
      <c r="L253" s="4">
        <v>25</v>
      </c>
      <c r="M253" s="4">
        <v>25</v>
      </c>
      <c r="N253" s="19">
        <v>27</v>
      </c>
      <c r="P253"/>
      <c r="R253"/>
      <c r="S253"/>
      <c r="V253"/>
      <c r="AC253" s="2"/>
      <c r="AG253" s="787"/>
      <c r="AH253" s="788"/>
      <c r="AK253" s="777"/>
      <c r="AN253" s="2"/>
      <c r="AO253"/>
    </row>
    <row r="254" spans="1:41" ht="12.75" customHeight="1">
      <c r="A254" s="3">
        <v>8</v>
      </c>
      <c r="B254" s="3"/>
      <c r="C254" s="4">
        <v>-33</v>
      </c>
      <c r="D254" s="19">
        <v>27</v>
      </c>
      <c r="E254" s="4">
        <v>27</v>
      </c>
      <c r="F254" s="4">
        <v>27</v>
      </c>
      <c r="G254" s="4">
        <v>27</v>
      </c>
      <c r="H254" s="1016">
        <v>27</v>
      </c>
      <c r="I254" s="4">
        <v>27</v>
      </c>
      <c r="J254" s="4">
        <v>27</v>
      </c>
      <c r="K254" s="4">
        <v>27</v>
      </c>
      <c r="L254" s="4">
        <v>27</v>
      </c>
      <c r="M254" s="4">
        <v>27</v>
      </c>
      <c r="N254" s="19">
        <v>34</v>
      </c>
      <c r="P254"/>
      <c r="R254"/>
      <c r="S254"/>
      <c r="V254"/>
      <c r="AC254" s="2"/>
      <c r="AG254" s="787"/>
      <c r="AH254" s="788"/>
      <c r="AK254" s="777"/>
      <c r="AN254" s="2"/>
      <c r="AO254"/>
    </row>
    <row r="255" spans="1:41" ht="12.75" customHeight="1">
      <c r="A255" s="3">
        <v>9</v>
      </c>
      <c r="B255" s="3"/>
      <c r="C255" s="4">
        <v>-32</v>
      </c>
      <c r="D255" s="19">
        <v>34</v>
      </c>
      <c r="E255" s="4">
        <v>34</v>
      </c>
      <c r="F255" s="4">
        <v>34</v>
      </c>
      <c r="G255" s="4">
        <v>34</v>
      </c>
      <c r="H255" s="1016">
        <v>34</v>
      </c>
      <c r="I255" s="4">
        <v>34</v>
      </c>
      <c r="J255" s="4">
        <v>34</v>
      </c>
      <c r="K255" s="4">
        <v>34</v>
      </c>
      <c r="L255" s="4">
        <v>34</v>
      </c>
      <c r="M255" s="4">
        <v>34</v>
      </c>
      <c r="N255" s="19">
        <v>34</v>
      </c>
      <c r="P255"/>
      <c r="R255"/>
      <c r="S255"/>
      <c r="V255"/>
      <c r="AC255" s="2"/>
      <c r="AG255" s="787"/>
      <c r="AH255" s="788"/>
      <c r="AK255" s="777"/>
      <c r="AN255" s="2"/>
      <c r="AO255"/>
    </row>
    <row r="256" spans="1:41" ht="12.75" customHeight="1">
      <c r="A256" s="3">
        <v>10</v>
      </c>
      <c r="B256" s="3"/>
      <c r="C256" s="4">
        <v>-31</v>
      </c>
      <c r="D256" s="19">
        <v>34</v>
      </c>
      <c r="E256" s="4">
        <v>34</v>
      </c>
      <c r="F256" s="4">
        <v>34</v>
      </c>
      <c r="G256" s="4">
        <v>34</v>
      </c>
      <c r="H256" s="1016">
        <v>34</v>
      </c>
      <c r="I256" s="4">
        <v>34</v>
      </c>
      <c r="J256" s="4">
        <v>34</v>
      </c>
      <c r="K256" s="4">
        <v>34</v>
      </c>
      <c r="L256" s="4">
        <v>34</v>
      </c>
      <c r="M256" s="4">
        <v>34</v>
      </c>
      <c r="N256" s="19">
        <v>38</v>
      </c>
      <c r="P256"/>
      <c r="R256"/>
      <c r="S256"/>
      <c r="V256"/>
      <c r="AC256" s="2"/>
      <c r="AG256" s="787"/>
      <c r="AH256" s="788"/>
      <c r="AK256" s="777"/>
      <c r="AN256" s="2"/>
      <c r="AO256"/>
    </row>
    <row r="257" spans="1:41" ht="12.75" customHeight="1">
      <c r="A257" s="3">
        <v>11</v>
      </c>
      <c r="B257" s="3"/>
      <c r="C257" s="4">
        <v>-30</v>
      </c>
      <c r="D257" s="19">
        <v>38</v>
      </c>
      <c r="E257" s="4">
        <v>38</v>
      </c>
      <c r="F257" s="4">
        <v>38</v>
      </c>
      <c r="G257" s="4">
        <v>38</v>
      </c>
      <c r="H257" s="1016">
        <v>38</v>
      </c>
      <c r="I257" s="4">
        <v>38</v>
      </c>
      <c r="J257" s="4">
        <v>38</v>
      </c>
      <c r="K257" s="4">
        <v>38</v>
      </c>
      <c r="L257" s="4">
        <v>38</v>
      </c>
      <c r="M257" s="4">
        <v>38</v>
      </c>
      <c r="N257" s="19">
        <v>42</v>
      </c>
      <c r="P257"/>
      <c r="R257"/>
      <c r="S257"/>
      <c r="V257"/>
      <c r="AC257" s="2"/>
      <c r="AG257" s="787"/>
      <c r="AH257" s="788"/>
      <c r="AK257" s="777"/>
      <c r="AN257" s="2"/>
      <c r="AO257"/>
    </row>
    <row r="258" spans="1:41" ht="12.75" customHeight="1">
      <c r="A258" s="3">
        <v>12</v>
      </c>
      <c r="B258" s="3"/>
      <c r="C258" s="4">
        <v>-29</v>
      </c>
      <c r="D258" s="19">
        <v>42</v>
      </c>
      <c r="E258" s="4">
        <v>42</v>
      </c>
      <c r="F258" s="4">
        <v>41</v>
      </c>
      <c r="G258" s="4">
        <v>40</v>
      </c>
      <c r="H258" s="1016">
        <v>40</v>
      </c>
      <c r="I258" s="4">
        <v>39</v>
      </c>
      <c r="J258" s="4">
        <v>39</v>
      </c>
      <c r="K258" s="4">
        <v>39</v>
      </c>
      <c r="L258" s="4">
        <v>38</v>
      </c>
      <c r="M258" s="4">
        <v>38</v>
      </c>
      <c r="N258" s="19">
        <v>47</v>
      </c>
      <c r="P258"/>
      <c r="R258"/>
      <c r="S258"/>
      <c r="V258"/>
      <c r="AC258" s="2"/>
      <c r="AG258" s="787"/>
      <c r="AH258" s="788"/>
      <c r="AK258" s="777"/>
      <c r="AN258" s="2"/>
      <c r="AO258"/>
    </row>
    <row r="259" spans="1:41" ht="12.75" customHeight="1">
      <c r="A259" s="3">
        <v>13</v>
      </c>
      <c r="B259" s="3"/>
      <c r="C259" s="4">
        <v>-28</v>
      </c>
      <c r="D259" s="19">
        <v>47</v>
      </c>
      <c r="E259" s="4">
        <v>47</v>
      </c>
      <c r="F259" s="4">
        <v>46</v>
      </c>
      <c r="G259" s="4">
        <v>45</v>
      </c>
      <c r="H259" s="1016">
        <v>45</v>
      </c>
      <c r="I259" s="4">
        <v>44</v>
      </c>
      <c r="J259" s="4">
        <v>44</v>
      </c>
      <c r="K259" s="4">
        <v>44</v>
      </c>
      <c r="L259" s="4">
        <v>43</v>
      </c>
      <c r="M259" s="4">
        <v>43</v>
      </c>
      <c r="N259" s="19">
        <v>51</v>
      </c>
      <c r="P259"/>
      <c r="R259"/>
      <c r="S259"/>
      <c r="V259"/>
      <c r="AC259" s="2"/>
      <c r="AG259" s="787"/>
      <c r="AH259" s="788"/>
      <c r="AK259" s="777"/>
      <c r="AN259" s="2"/>
      <c r="AO259"/>
    </row>
    <row r="260" spans="1:41" ht="12.75" customHeight="1">
      <c r="A260" s="3">
        <v>14</v>
      </c>
      <c r="B260" s="3"/>
      <c r="C260" s="4">
        <v>-27</v>
      </c>
      <c r="D260" s="19">
        <v>51</v>
      </c>
      <c r="E260" s="4">
        <v>51</v>
      </c>
      <c r="F260" s="4">
        <v>50</v>
      </c>
      <c r="G260" s="4">
        <v>48</v>
      </c>
      <c r="H260" s="1016">
        <v>48</v>
      </c>
      <c r="I260" s="4">
        <v>48</v>
      </c>
      <c r="J260" s="4">
        <v>48</v>
      </c>
      <c r="K260" s="4">
        <v>48</v>
      </c>
      <c r="L260" s="4">
        <v>47</v>
      </c>
      <c r="M260" s="4">
        <v>47</v>
      </c>
      <c r="N260" s="19">
        <v>57</v>
      </c>
      <c r="P260"/>
      <c r="R260"/>
      <c r="S260"/>
      <c r="V260"/>
      <c r="AC260" s="2"/>
      <c r="AG260" s="787"/>
      <c r="AH260" s="788"/>
      <c r="AK260" s="777"/>
      <c r="AN260" s="2"/>
      <c r="AO260"/>
    </row>
    <row r="261" spans="1:41" ht="12.75" customHeight="1">
      <c r="A261" s="3">
        <v>15</v>
      </c>
      <c r="B261" s="3"/>
      <c r="C261" s="4">
        <v>-26</v>
      </c>
      <c r="D261" s="19">
        <v>57</v>
      </c>
      <c r="E261" s="4">
        <v>56</v>
      </c>
      <c r="F261" s="4">
        <v>55</v>
      </c>
      <c r="G261" s="4">
        <v>54</v>
      </c>
      <c r="H261" s="1016">
        <v>54</v>
      </c>
      <c r="I261" s="4">
        <v>53</v>
      </c>
      <c r="J261" s="4">
        <v>52</v>
      </c>
      <c r="K261" s="4">
        <v>52</v>
      </c>
      <c r="L261" s="4">
        <v>51</v>
      </c>
      <c r="M261" s="4">
        <v>51</v>
      </c>
      <c r="N261" s="19">
        <v>63</v>
      </c>
      <c r="P261"/>
      <c r="R261"/>
      <c r="S261"/>
      <c r="V261"/>
      <c r="AC261" s="2"/>
      <c r="AG261" s="787"/>
      <c r="AH261" s="788"/>
      <c r="AK261" s="777"/>
      <c r="AN261" s="2"/>
      <c r="AO261"/>
    </row>
    <row r="262" spans="1:41" ht="12.75" customHeight="1">
      <c r="A262" s="3">
        <v>16</v>
      </c>
      <c r="B262" s="3"/>
      <c r="C262" s="4">
        <v>-25</v>
      </c>
      <c r="D262" s="19">
        <v>63</v>
      </c>
      <c r="E262" s="4">
        <v>63</v>
      </c>
      <c r="F262" s="4">
        <v>62</v>
      </c>
      <c r="G262" s="4">
        <v>61</v>
      </c>
      <c r="H262" s="1016">
        <v>61</v>
      </c>
      <c r="I262" s="4">
        <v>60</v>
      </c>
      <c r="J262" s="4">
        <v>59</v>
      </c>
      <c r="K262" s="4">
        <v>59</v>
      </c>
      <c r="L262" s="4">
        <v>58</v>
      </c>
      <c r="M262" s="4">
        <v>58</v>
      </c>
      <c r="N262" s="19">
        <v>69</v>
      </c>
      <c r="P262"/>
      <c r="R262"/>
      <c r="S262"/>
      <c r="V262"/>
      <c r="AC262" s="2"/>
      <c r="AG262" s="787"/>
      <c r="AH262" s="788"/>
      <c r="AK262" s="777"/>
      <c r="AN262" s="2"/>
      <c r="AO262"/>
    </row>
    <row r="263" spans="1:41" ht="12.75" customHeight="1">
      <c r="A263" s="3">
        <v>17</v>
      </c>
      <c r="B263" s="3"/>
      <c r="C263" s="4">
        <v>-24</v>
      </c>
      <c r="D263" s="19">
        <v>69</v>
      </c>
      <c r="E263" s="4">
        <v>69</v>
      </c>
      <c r="F263" s="4">
        <v>68</v>
      </c>
      <c r="G263" s="4">
        <v>67</v>
      </c>
      <c r="H263" s="1016">
        <v>66</v>
      </c>
      <c r="I263" s="4">
        <v>65</v>
      </c>
      <c r="J263" s="4">
        <v>64</v>
      </c>
      <c r="K263" s="4">
        <v>64</v>
      </c>
      <c r="L263" s="4">
        <v>63</v>
      </c>
      <c r="M263" s="4">
        <v>63</v>
      </c>
      <c r="N263" s="19">
        <v>77</v>
      </c>
      <c r="P263"/>
      <c r="R263"/>
      <c r="S263"/>
      <c r="V263"/>
      <c r="AC263" s="2"/>
      <c r="AG263" s="787"/>
      <c r="AH263" s="788"/>
      <c r="AK263" s="777"/>
      <c r="AN263" s="2"/>
      <c r="AO263"/>
    </row>
    <row r="264" spans="1:41" ht="12.75" customHeight="1">
      <c r="A264" s="3">
        <v>18</v>
      </c>
      <c r="B264" s="3"/>
      <c r="C264" s="4">
        <v>-23</v>
      </c>
      <c r="D264" s="19">
        <v>77</v>
      </c>
      <c r="E264" s="4">
        <v>76</v>
      </c>
      <c r="F264" s="4">
        <v>75</v>
      </c>
      <c r="G264" s="4">
        <v>74</v>
      </c>
      <c r="H264" s="1016">
        <v>73</v>
      </c>
      <c r="I264" s="4">
        <v>73</v>
      </c>
      <c r="J264" s="4">
        <v>72</v>
      </c>
      <c r="K264" s="4">
        <v>71</v>
      </c>
      <c r="L264" s="4">
        <v>70</v>
      </c>
      <c r="M264" s="4">
        <v>70</v>
      </c>
      <c r="N264" s="19">
        <v>85</v>
      </c>
      <c r="P264"/>
      <c r="R264"/>
      <c r="S264"/>
      <c r="V264"/>
      <c r="AC264" s="2"/>
      <c r="AG264" s="787"/>
      <c r="AH264" s="788"/>
      <c r="AK264" s="777"/>
      <c r="AN264" s="2"/>
      <c r="AO264"/>
    </row>
    <row r="265" spans="1:41" ht="12.75" customHeight="1">
      <c r="A265" s="3">
        <v>19</v>
      </c>
      <c r="B265" s="3"/>
      <c r="C265" s="4">
        <v>-22</v>
      </c>
      <c r="D265" s="19">
        <v>85</v>
      </c>
      <c r="E265" s="4">
        <v>84</v>
      </c>
      <c r="F265" s="4">
        <v>83</v>
      </c>
      <c r="G265" s="4">
        <v>83</v>
      </c>
      <c r="H265" s="1016">
        <v>81</v>
      </c>
      <c r="I265" s="4">
        <v>81</v>
      </c>
      <c r="J265" s="4">
        <v>80</v>
      </c>
      <c r="K265" s="4">
        <v>79</v>
      </c>
      <c r="L265" s="4">
        <v>78</v>
      </c>
      <c r="M265" s="4">
        <v>78</v>
      </c>
      <c r="N265" s="19">
        <v>93</v>
      </c>
      <c r="P265"/>
      <c r="R265"/>
      <c r="S265"/>
      <c r="V265"/>
      <c r="AC265" s="2"/>
      <c r="AG265" s="787"/>
      <c r="AH265" s="788"/>
      <c r="AK265" s="777"/>
      <c r="AN265" s="2"/>
      <c r="AO265"/>
    </row>
    <row r="266" spans="1:41" ht="12.75" customHeight="1">
      <c r="A266" s="3">
        <v>20</v>
      </c>
      <c r="B266" s="3"/>
      <c r="C266" s="4">
        <v>-21</v>
      </c>
      <c r="D266" s="19">
        <v>93</v>
      </c>
      <c r="E266" s="4">
        <v>92</v>
      </c>
      <c r="F266" s="4">
        <v>91</v>
      </c>
      <c r="G266" s="4">
        <v>90</v>
      </c>
      <c r="H266" s="1016">
        <v>89</v>
      </c>
      <c r="I266" s="4">
        <v>89</v>
      </c>
      <c r="J266" s="4">
        <v>88</v>
      </c>
      <c r="K266" s="4">
        <v>87</v>
      </c>
      <c r="L266" s="4">
        <v>86</v>
      </c>
      <c r="M266" s="4">
        <v>86</v>
      </c>
      <c r="N266" s="19">
        <v>103</v>
      </c>
      <c r="P266"/>
      <c r="R266"/>
      <c r="S266"/>
      <c r="V266"/>
      <c r="AC266" s="2"/>
      <c r="AG266" s="787"/>
      <c r="AH266" s="788"/>
      <c r="AK266" s="777"/>
      <c r="AN266" s="2"/>
      <c r="AO266"/>
    </row>
    <row r="267" spans="1:41" ht="12.75" customHeight="1">
      <c r="A267" s="3">
        <v>21</v>
      </c>
      <c r="B267" s="3"/>
      <c r="C267" s="4">
        <v>-20</v>
      </c>
      <c r="D267" s="19">
        <v>103</v>
      </c>
      <c r="E267" s="4">
        <v>102</v>
      </c>
      <c r="F267" s="4">
        <v>101</v>
      </c>
      <c r="G267" s="4">
        <v>100</v>
      </c>
      <c r="H267" s="1016">
        <v>99</v>
      </c>
      <c r="I267" s="4">
        <v>99</v>
      </c>
      <c r="J267" s="4">
        <v>98</v>
      </c>
      <c r="K267" s="4">
        <v>97</v>
      </c>
      <c r="L267" s="4">
        <v>96</v>
      </c>
      <c r="M267" s="4">
        <v>95</v>
      </c>
      <c r="N267" s="19">
        <v>113</v>
      </c>
      <c r="P267"/>
      <c r="R267"/>
      <c r="S267"/>
      <c r="V267"/>
      <c r="AC267" s="2"/>
      <c r="AG267" s="787"/>
      <c r="AH267" s="788"/>
      <c r="AK267" s="777"/>
      <c r="AN267" s="2"/>
      <c r="AO267"/>
    </row>
    <row r="268" spans="1:41" ht="12.75" customHeight="1">
      <c r="A268" s="3">
        <v>22</v>
      </c>
      <c r="B268" s="3"/>
      <c r="C268" s="4">
        <v>-19</v>
      </c>
      <c r="D268" s="19">
        <v>113</v>
      </c>
      <c r="E268" s="4">
        <v>112</v>
      </c>
      <c r="F268" s="4">
        <v>111</v>
      </c>
      <c r="G268" s="4">
        <v>110</v>
      </c>
      <c r="H268" s="1016">
        <v>109</v>
      </c>
      <c r="I268" s="4">
        <v>108</v>
      </c>
      <c r="J268" s="4">
        <v>107</v>
      </c>
      <c r="K268" s="4">
        <v>106</v>
      </c>
      <c r="L268" s="4">
        <v>105</v>
      </c>
      <c r="M268" s="4">
        <v>104</v>
      </c>
      <c r="N268" s="19">
        <v>125</v>
      </c>
      <c r="P268"/>
      <c r="R268"/>
      <c r="S268"/>
      <c r="V268"/>
      <c r="AC268" s="2"/>
      <c r="AG268" s="787"/>
      <c r="AH268" s="788"/>
      <c r="AK268" s="777"/>
      <c r="AN268" s="2"/>
      <c r="AO268"/>
    </row>
    <row r="269" spans="1:41" ht="12.75" customHeight="1">
      <c r="A269" s="3">
        <v>23</v>
      </c>
      <c r="B269" s="3"/>
      <c r="C269" s="4">
        <v>-18</v>
      </c>
      <c r="D269" s="19">
        <v>125</v>
      </c>
      <c r="E269" s="4">
        <v>124</v>
      </c>
      <c r="F269" s="4">
        <v>123</v>
      </c>
      <c r="G269" s="4">
        <v>122</v>
      </c>
      <c r="H269" s="1016">
        <v>120</v>
      </c>
      <c r="I269" s="4">
        <v>119</v>
      </c>
      <c r="J269" s="4">
        <v>117</v>
      </c>
      <c r="K269" s="4">
        <v>117</v>
      </c>
      <c r="L269" s="4">
        <v>116</v>
      </c>
      <c r="M269" s="4">
        <v>114</v>
      </c>
      <c r="N269" s="19">
        <v>137</v>
      </c>
      <c r="P269"/>
      <c r="R269"/>
      <c r="S269"/>
      <c r="V269"/>
      <c r="AC269" s="2"/>
      <c r="AG269" s="787"/>
      <c r="AH269" s="788"/>
      <c r="AK269" s="777"/>
      <c r="AN269" s="2"/>
      <c r="AO269"/>
    </row>
    <row r="270" spans="1:41" ht="12.75" customHeight="1">
      <c r="A270" s="3">
        <v>24</v>
      </c>
      <c r="B270" s="3"/>
      <c r="C270" s="4">
        <v>-17</v>
      </c>
      <c r="D270" s="19">
        <v>137</v>
      </c>
      <c r="E270" s="4">
        <v>136</v>
      </c>
      <c r="F270" s="4">
        <v>135</v>
      </c>
      <c r="G270" s="4">
        <v>134</v>
      </c>
      <c r="H270" s="1016">
        <v>132</v>
      </c>
      <c r="I270" s="4">
        <v>131</v>
      </c>
      <c r="J270" s="4">
        <v>129</v>
      </c>
      <c r="K270" s="4">
        <v>129</v>
      </c>
      <c r="L270" s="4">
        <v>128</v>
      </c>
      <c r="M270" s="4">
        <v>126</v>
      </c>
      <c r="N270" s="19">
        <v>151</v>
      </c>
      <c r="P270"/>
      <c r="R270"/>
      <c r="S270"/>
      <c r="V270"/>
      <c r="AC270" s="2"/>
      <c r="AG270" s="787"/>
      <c r="AH270" s="788"/>
      <c r="AK270" s="777"/>
      <c r="AN270" s="2"/>
      <c r="AO270"/>
    </row>
    <row r="271" spans="1:41" ht="12.75" customHeight="1">
      <c r="A271" s="3">
        <v>25</v>
      </c>
      <c r="B271" s="3"/>
      <c r="C271" s="4">
        <v>-16</v>
      </c>
      <c r="D271" s="19">
        <v>151</v>
      </c>
      <c r="E271" s="4">
        <v>150</v>
      </c>
      <c r="F271" s="4">
        <v>148</v>
      </c>
      <c r="G271" s="4">
        <v>147</v>
      </c>
      <c r="H271" s="1016">
        <v>145</v>
      </c>
      <c r="I271" s="4">
        <v>144</v>
      </c>
      <c r="J271" s="4">
        <v>143</v>
      </c>
      <c r="K271" s="4">
        <v>141</v>
      </c>
      <c r="L271" s="4">
        <v>140</v>
      </c>
      <c r="M271" s="4">
        <v>139</v>
      </c>
      <c r="N271" s="19">
        <v>165</v>
      </c>
      <c r="P271"/>
      <c r="R271"/>
      <c r="S271"/>
      <c r="V271"/>
      <c r="AC271" s="2"/>
      <c r="AG271" s="787"/>
      <c r="AH271" s="788"/>
      <c r="AK271" s="777"/>
      <c r="AN271" s="2"/>
      <c r="AO271"/>
    </row>
    <row r="272" spans="1:41" ht="12.75" customHeight="1">
      <c r="A272" s="3">
        <v>26</v>
      </c>
      <c r="B272" s="3"/>
      <c r="C272" s="4">
        <v>-15</v>
      </c>
      <c r="D272" s="19">
        <v>165</v>
      </c>
      <c r="E272" s="4">
        <v>164</v>
      </c>
      <c r="F272" s="4">
        <v>163</v>
      </c>
      <c r="G272" s="4">
        <v>161</v>
      </c>
      <c r="H272" s="1016">
        <v>159</v>
      </c>
      <c r="I272" s="4">
        <v>158</v>
      </c>
      <c r="J272" s="4">
        <v>157</v>
      </c>
      <c r="K272" s="4">
        <v>155</v>
      </c>
      <c r="L272" s="4">
        <v>153</v>
      </c>
      <c r="M272" s="4">
        <v>152</v>
      </c>
      <c r="N272" s="19">
        <v>181</v>
      </c>
      <c r="P272"/>
      <c r="R272"/>
      <c r="S272"/>
      <c r="V272"/>
      <c r="AC272" s="2"/>
      <c r="AG272" s="787"/>
      <c r="AH272" s="788"/>
      <c r="AK272" s="777"/>
      <c r="AN272" s="2"/>
      <c r="AO272"/>
    </row>
    <row r="273" spans="1:41" ht="12.75" customHeight="1">
      <c r="A273" s="3">
        <v>27</v>
      </c>
      <c r="B273" s="3"/>
      <c r="C273" s="4">
        <v>-14</v>
      </c>
      <c r="D273" s="19">
        <v>181</v>
      </c>
      <c r="E273" s="4">
        <v>180</v>
      </c>
      <c r="F273" s="4">
        <v>179</v>
      </c>
      <c r="G273" s="4">
        <v>177</v>
      </c>
      <c r="H273" s="1016">
        <v>175</v>
      </c>
      <c r="I273" s="4">
        <v>174</v>
      </c>
      <c r="J273" s="4">
        <v>172</v>
      </c>
      <c r="K273" s="4">
        <v>170</v>
      </c>
      <c r="L273" s="4">
        <v>168</v>
      </c>
      <c r="M273" s="4">
        <v>167</v>
      </c>
      <c r="N273" s="19">
        <v>199</v>
      </c>
      <c r="P273"/>
      <c r="R273"/>
      <c r="S273"/>
      <c r="V273"/>
      <c r="AC273" s="2"/>
      <c r="AG273" s="787"/>
      <c r="AH273" s="788"/>
      <c r="AK273" s="777"/>
      <c r="AN273" s="2"/>
      <c r="AO273"/>
    </row>
    <row r="274" spans="1:41" ht="12.75" customHeight="1">
      <c r="A274" s="3">
        <v>28</v>
      </c>
      <c r="B274" s="3"/>
      <c r="C274" s="4">
        <v>-13</v>
      </c>
      <c r="D274" s="19">
        <v>199</v>
      </c>
      <c r="E274" s="4">
        <v>197</v>
      </c>
      <c r="F274" s="4">
        <v>195</v>
      </c>
      <c r="G274" s="4">
        <v>193</v>
      </c>
      <c r="H274" s="1016">
        <v>191</v>
      </c>
      <c r="I274" s="4">
        <v>190</v>
      </c>
      <c r="J274" s="4">
        <v>188</v>
      </c>
      <c r="K274" s="4">
        <v>186</v>
      </c>
      <c r="L274" s="4">
        <v>184</v>
      </c>
      <c r="M274" s="4">
        <v>183</v>
      </c>
      <c r="N274" s="19">
        <v>217</v>
      </c>
      <c r="P274"/>
      <c r="R274"/>
      <c r="S274"/>
      <c r="V274"/>
      <c r="AC274" s="2"/>
      <c r="AG274" s="787"/>
      <c r="AH274" s="788"/>
      <c r="AK274" s="777"/>
      <c r="AN274" s="2"/>
      <c r="AO274"/>
    </row>
    <row r="275" spans="1:41" ht="12.75" customHeight="1">
      <c r="A275" s="3">
        <v>29</v>
      </c>
      <c r="B275" s="3"/>
      <c r="C275" s="4">
        <v>-12</v>
      </c>
      <c r="D275" s="19">
        <v>217</v>
      </c>
      <c r="E275" s="4">
        <v>215</v>
      </c>
      <c r="F275" s="4">
        <v>213</v>
      </c>
      <c r="G275" s="4">
        <v>211</v>
      </c>
      <c r="H275" s="1016">
        <v>209</v>
      </c>
      <c r="I275" s="4">
        <v>206</v>
      </c>
      <c r="J275" s="4">
        <v>207</v>
      </c>
      <c r="K275" s="4">
        <v>205</v>
      </c>
      <c r="L275" s="4">
        <v>203</v>
      </c>
      <c r="M275" s="4">
        <v>201</v>
      </c>
      <c r="N275" s="19">
        <v>237</v>
      </c>
      <c r="P275"/>
      <c r="R275"/>
      <c r="S275"/>
      <c r="V275"/>
      <c r="AC275" s="2"/>
      <c r="AG275" s="787"/>
      <c r="AH275" s="788"/>
      <c r="AK275" s="777"/>
      <c r="AN275" s="2"/>
      <c r="AO275"/>
    </row>
    <row r="276" spans="1:41" ht="12.75" customHeight="1">
      <c r="A276" s="3">
        <v>30</v>
      </c>
      <c r="B276" s="3"/>
      <c r="C276" s="4">
        <v>-11</v>
      </c>
      <c r="D276" s="19">
        <v>237</v>
      </c>
      <c r="E276" s="4">
        <v>235</v>
      </c>
      <c r="F276" s="4">
        <v>233</v>
      </c>
      <c r="G276" s="4">
        <v>231</v>
      </c>
      <c r="H276" s="1016">
        <v>229</v>
      </c>
      <c r="I276" s="4">
        <v>227</v>
      </c>
      <c r="J276" s="4">
        <v>225</v>
      </c>
      <c r="K276" s="4">
        <v>223</v>
      </c>
      <c r="L276" s="4">
        <v>221</v>
      </c>
      <c r="M276" s="4">
        <v>219</v>
      </c>
      <c r="N276" s="19">
        <v>260</v>
      </c>
      <c r="P276"/>
      <c r="R276"/>
      <c r="S276"/>
      <c r="V276"/>
      <c r="AC276" s="2"/>
      <c r="AG276" s="787"/>
      <c r="AH276" s="788"/>
      <c r="AK276" s="777"/>
      <c r="AN276" s="2"/>
      <c r="AO276"/>
    </row>
    <row r="277" spans="1:41" ht="12.75" customHeight="1">
      <c r="A277" s="3">
        <v>31</v>
      </c>
      <c r="B277" s="3"/>
      <c r="C277" s="4">
        <v>-10</v>
      </c>
      <c r="D277" s="19">
        <v>260</v>
      </c>
      <c r="E277" s="4">
        <v>260</v>
      </c>
      <c r="F277" s="4">
        <v>260</v>
      </c>
      <c r="G277" s="4">
        <v>255</v>
      </c>
      <c r="H277" s="1016">
        <v>251</v>
      </c>
      <c r="I277" s="4">
        <v>248</v>
      </c>
      <c r="J277" s="4">
        <v>245</v>
      </c>
      <c r="K277" s="4">
        <v>243</v>
      </c>
      <c r="L277" s="4">
        <v>241</v>
      </c>
      <c r="M277" s="4">
        <v>239</v>
      </c>
      <c r="N277" s="19">
        <v>284</v>
      </c>
      <c r="P277"/>
      <c r="R277"/>
      <c r="S277"/>
      <c r="V277"/>
      <c r="AC277" s="2"/>
      <c r="AG277" s="787"/>
      <c r="AH277" s="788"/>
      <c r="AK277" s="777"/>
      <c r="AN277" s="2"/>
      <c r="AO277"/>
    </row>
    <row r="278" spans="1:41" ht="12.75" customHeight="1">
      <c r="A278" s="3">
        <v>32</v>
      </c>
      <c r="B278" s="3"/>
      <c r="C278" s="4">
        <v>-9</v>
      </c>
      <c r="D278" s="19">
        <v>284</v>
      </c>
      <c r="E278" s="4">
        <v>281</v>
      </c>
      <c r="F278" s="4">
        <v>279</v>
      </c>
      <c r="G278" s="4">
        <v>275</v>
      </c>
      <c r="H278" s="1016">
        <v>273</v>
      </c>
      <c r="I278" s="4">
        <v>270</v>
      </c>
      <c r="J278" s="4">
        <v>268</v>
      </c>
      <c r="K278" s="4">
        <v>266</v>
      </c>
      <c r="L278" s="4">
        <v>264</v>
      </c>
      <c r="M278" s="4">
        <v>262</v>
      </c>
      <c r="N278" s="19">
        <v>310</v>
      </c>
      <c r="P278"/>
      <c r="R278"/>
      <c r="S278"/>
      <c r="V278"/>
      <c r="AC278" s="2"/>
      <c r="AG278" s="787"/>
      <c r="AH278" s="788"/>
      <c r="AK278" s="777"/>
      <c r="AN278" s="2"/>
      <c r="AO278"/>
    </row>
    <row r="279" spans="1:41" ht="12.75" customHeight="1">
      <c r="A279" s="3">
        <v>33</v>
      </c>
      <c r="B279" s="3"/>
      <c r="C279" s="4">
        <v>-8</v>
      </c>
      <c r="D279" s="19">
        <v>310</v>
      </c>
      <c r="E279" s="4">
        <v>306</v>
      </c>
      <c r="F279" s="4">
        <v>304</v>
      </c>
      <c r="G279" s="4">
        <v>302</v>
      </c>
      <c r="H279" s="1016">
        <v>299</v>
      </c>
      <c r="I279" s="4">
        <v>296</v>
      </c>
      <c r="J279" s="4">
        <v>293</v>
      </c>
      <c r="K279" s="4">
        <v>291</v>
      </c>
      <c r="L279" s="4">
        <v>289</v>
      </c>
      <c r="M279" s="4">
        <v>287</v>
      </c>
      <c r="N279" s="19">
        <v>338</v>
      </c>
      <c r="P279"/>
      <c r="R279"/>
      <c r="S279"/>
      <c r="V279"/>
      <c r="AC279" s="2"/>
      <c r="AG279" s="787"/>
      <c r="AH279" s="788"/>
      <c r="AK279" s="777"/>
      <c r="AN279" s="2"/>
      <c r="AO279"/>
    </row>
    <row r="280" spans="1:41" ht="12.75" customHeight="1">
      <c r="A280" s="3">
        <v>34</v>
      </c>
      <c r="B280" s="3"/>
      <c r="C280" s="4">
        <v>-7</v>
      </c>
      <c r="D280" s="19">
        <v>338</v>
      </c>
      <c r="E280" s="4">
        <v>335</v>
      </c>
      <c r="F280" s="4">
        <v>332</v>
      </c>
      <c r="G280" s="4">
        <v>330</v>
      </c>
      <c r="H280" s="1016">
        <v>327</v>
      </c>
      <c r="I280" s="4">
        <v>324</v>
      </c>
      <c r="J280" s="4">
        <v>321</v>
      </c>
      <c r="K280" s="4">
        <v>318</v>
      </c>
      <c r="L280" s="4">
        <v>315</v>
      </c>
      <c r="M280" s="4">
        <v>313</v>
      </c>
      <c r="N280" s="19">
        <v>369</v>
      </c>
      <c r="P280"/>
      <c r="R280"/>
      <c r="S280"/>
      <c r="V280"/>
      <c r="AC280" s="2"/>
      <c r="AG280" s="787"/>
      <c r="AH280" s="788"/>
      <c r="AK280" s="777"/>
      <c r="AN280" s="2"/>
      <c r="AO280"/>
    </row>
    <row r="281" spans="1:41" ht="12.75" customHeight="1">
      <c r="A281" s="3">
        <v>35</v>
      </c>
      <c r="B281" s="3"/>
      <c r="C281" s="4">
        <v>-6</v>
      </c>
      <c r="D281" s="19">
        <v>369</v>
      </c>
      <c r="E281" s="4">
        <v>366</v>
      </c>
      <c r="F281" s="4">
        <v>363</v>
      </c>
      <c r="G281" s="4">
        <v>360</v>
      </c>
      <c r="H281" s="1016">
        <v>356</v>
      </c>
      <c r="I281" s="4">
        <v>354</v>
      </c>
      <c r="J281" s="4">
        <v>351</v>
      </c>
      <c r="K281" s="4">
        <v>348</v>
      </c>
      <c r="L281" s="4">
        <v>344</v>
      </c>
      <c r="M281" s="4">
        <v>341</v>
      </c>
      <c r="N281" s="19">
        <v>402</v>
      </c>
      <c r="P281"/>
      <c r="R281"/>
      <c r="S281"/>
      <c r="V281"/>
      <c r="AC281" s="2"/>
      <c r="AG281" s="787"/>
      <c r="AH281" s="788"/>
      <c r="AK281" s="777"/>
      <c r="AN281" s="2"/>
      <c r="AO281"/>
    </row>
    <row r="282" spans="1:41" ht="12.75" customHeight="1">
      <c r="A282" s="3">
        <v>36</v>
      </c>
      <c r="B282" s="3"/>
      <c r="C282" s="4">
        <v>-5</v>
      </c>
      <c r="D282" s="19">
        <v>402</v>
      </c>
      <c r="E282" s="4">
        <v>399</v>
      </c>
      <c r="F282" s="4">
        <v>395</v>
      </c>
      <c r="G282" s="4">
        <v>392</v>
      </c>
      <c r="H282" s="1016">
        <v>388</v>
      </c>
      <c r="I282" s="4">
        <v>385</v>
      </c>
      <c r="J282" s="4">
        <v>381</v>
      </c>
      <c r="K282" s="4">
        <v>378</v>
      </c>
      <c r="L282" s="4">
        <v>375</v>
      </c>
      <c r="M282" s="4">
        <v>372</v>
      </c>
      <c r="N282" s="19">
        <v>437</v>
      </c>
      <c r="P282"/>
      <c r="R282"/>
      <c r="S282"/>
      <c r="V282"/>
      <c r="AC282" s="2"/>
      <c r="AG282" s="787"/>
      <c r="AH282" s="788"/>
      <c r="AK282" s="777"/>
      <c r="AN282" s="2"/>
      <c r="AO282"/>
    </row>
    <row r="283" spans="1:41" ht="12.75" customHeight="1">
      <c r="A283" s="3">
        <v>37</v>
      </c>
      <c r="B283" s="3"/>
      <c r="C283" s="4">
        <v>-4</v>
      </c>
      <c r="D283" s="19">
        <v>437</v>
      </c>
      <c r="E283" s="4">
        <v>433</v>
      </c>
      <c r="F283" s="4">
        <v>429</v>
      </c>
      <c r="G283" s="4">
        <v>426</v>
      </c>
      <c r="H283" s="1016">
        <v>423</v>
      </c>
      <c r="I283" s="4">
        <v>419</v>
      </c>
      <c r="J283" s="4">
        <v>415</v>
      </c>
      <c r="K283" s="4">
        <v>411.5</v>
      </c>
      <c r="L283" s="4">
        <v>408</v>
      </c>
      <c r="M283" s="4">
        <v>405</v>
      </c>
      <c r="N283" s="19">
        <v>476</v>
      </c>
      <c r="P283"/>
      <c r="R283"/>
      <c r="S283"/>
      <c r="V283"/>
      <c r="AC283" s="2"/>
      <c r="AG283" s="787"/>
      <c r="AH283" s="788"/>
      <c r="AK283" s="777"/>
      <c r="AN283" s="2"/>
      <c r="AO283"/>
    </row>
    <row r="284" spans="1:41" ht="12.75" customHeight="1">
      <c r="A284" s="3">
        <v>38</v>
      </c>
      <c r="B284" s="3"/>
      <c r="C284" s="4">
        <v>-3</v>
      </c>
      <c r="D284" s="19">
        <v>476</v>
      </c>
      <c r="E284" s="4">
        <v>472</v>
      </c>
      <c r="F284" s="4">
        <v>468</v>
      </c>
      <c r="G284" s="4">
        <v>464</v>
      </c>
      <c r="H284" s="1016">
        <v>460</v>
      </c>
      <c r="I284" s="4">
        <v>456</v>
      </c>
      <c r="J284" s="4">
        <v>452</v>
      </c>
      <c r="K284" s="4">
        <v>448.5</v>
      </c>
      <c r="L284" s="4">
        <v>445</v>
      </c>
      <c r="M284" s="4">
        <v>441</v>
      </c>
      <c r="N284" s="19">
        <v>517</v>
      </c>
      <c r="P284"/>
      <c r="R284"/>
      <c r="S284"/>
      <c r="V284"/>
      <c r="AC284" s="2"/>
      <c r="AG284" s="787"/>
      <c r="AH284" s="788"/>
      <c r="AK284" s="777"/>
      <c r="AN284" s="2"/>
      <c r="AO284"/>
    </row>
    <row r="285" spans="1:41" ht="12.75" customHeight="1">
      <c r="A285" s="3">
        <v>39</v>
      </c>
      <c r="B285" s="3"/>
      <c r="C285" s="4">
        <v>-2</v>
      </c>
      <c r="D285" s="19">
        <v>517</v>
      </c>
      <c r="E285" s="4">
        <v>513</v>
      </c>
      <c r="F285" s="4">
        <v>509</v>
      </c>
      <c r="G285" s="4">
        <v>503.3</v>
      </c>
      <c r="H285" s="1016">
        <v>498</v>
      </c>
      <c r="I285" s="4">
        <v>495</v>
      </c>
      <c r="J285" s="4">
        <v>492</v>
      </c>
      <c r="K285" s="4">
        <v>488</v>
      </c>
      <c r="L285" s="4">
        <v>484</v>
      </c>
      <c r="M285" s="4">
        <v>480</v>
      </c>
      <c r="N285" s="19">
        <v>563</v>
      </c>
      <c r="P285"/>
      <c r="R285"/>
      <c r="S285"/>
      <c r="V285"/>
      <c r="AC285" s="2"/>
      <c r="AG285" s="787"/>
      <c r="AH285" s="788"/>
      <c r="AK285" s="777"/>
      <c r="AN285" s="2"/>
      <c r="AO285"/>
    </row>
    <row r="286" spans="1:41" ht="12.75" customHeight="1">
      <c r="A286" s="3">
        <v>40</v>
      </c>
      <c r="B286" s="3"/>
      <c r="C286" s="4">
        <v>-1</v>
      </c>
      <c r="D286" s="19">
        <v>563</v>
      </c>
      <c r="E286" s="4">
        <v>568</v>
      </c>
      <c r="F286" s="4">
        <v>553</v>
      </c>
      <c r="G286" s="4">
        <v>549</v>
      </c>
      <c r="H286" s="1016">
        <v>544</v>
      </c>
      <c r="I286" s="4">
        <v>542</v>
      </c>
      <c r="J286" s="4">
        <v>535</v>
      </c>
      <c r="K286" s="4">
        <v>531</v>
      </c>
      <c r="L286" s="4">
        <v>527</v>
      </c>
      <c r="M286" s="4">
        <v>522</v>
      </c>
      <c r="N286" s="19">
        <v>611</v>
      </c>
      <c r="P286"/>
      <c r="R286"/>
      <c r="S286"/>
      <c r="V286"/>
      <c r="AC286" s="2"/>
      <c r="AG286" s="787"/>
      <c r="AH286" s="788"/>
      <c r="AK286" s="777"/>
      <c r="AN286" s="2"/>
      <c r="AO286"/>
    </row>
    <row r="287" spans="1:41" ht="12.75" customHeight="1">
      <c r="A287" s="3">
        <v>41</v>
      </c>
      <c r="B287" s="3"/>
      <c r="C287" s="4">
        <v>0</v>
      </c>
      <c r="D287" s="19">
        <v>611</v>
      </c>
      <c r="E287" s="4">
        <v>615</v>
      </c>
      <c r="F287" s="4">
        <v>620</v>
      </c>
      <c r="G287" s="4">
        <v>624</v>
      </c>
      <c r="H287" s="1016">
        <v>629</v>
      </c>
      <c r="I287" s="4">
        <v>633</v>
      </c>
      <c r="J287" s="4">
        <v>639</v>
      </c>
      <c r="K287" s="4">
        <v>643</v>
      </c>
      <c r="L287" s="4">
        <v>648</v>
      </c>
      <c r="M287" s="4">
        <v>652</v>
      </c>
      <c r="N287" s="19">
        <v>657</v>
      </c>
      <c r="P287"/>
      <c r="R287"/>
      <c r="S287"/>
      <c r="V287"/>
      <c r="AC287" s="2"/>
      <c r="AG287" s="787"/>
      <c r="AH287" s="788"/>
      <c r="AK287" s="777"/>
      <c r="AN287" s="2"/>
      <c r="AO287"/>
    </row>
    <row r="288" spans="1:41" ht="12.75" customHeight="1">
      <c r="A288" s="3">
        <v>42</v>
      </c>
      <c r="B288" s="3"/>
      <c r="C288" s="4">
        <v>1</v>
      </c>
      <c r="D288" s="19">
        <v>657</v>
      </c>
      <c r="E288" s="4">
        <v>661</v>
      </c>
      <c r="F288" s="4">
        <v>667</v>
      </c>
      <c r="G288" s="4">
        <v>671</v>
      </c>
      <c r="H288" s="1016">
        <v>676</v>
      </c>
      <c r="I288" s="4">
        <v>681</v>
      </c>
      <c r="J288" s="4">
        <v>687</v>
      </c>
      <c r="K288" s="4">
        <v>691</v>
      </c>
      <c r="L288" s="4">
        <v>696</v>
      </c>
      <c r="M288" s="4">
        <v>701</v>
      </c>
      <c r="N288" s="19">
        <v>705</v>
      </c>
      <c r="P288"/>
      <c r="R288"/>
      <c r="S288"/>
      <c r="V288"/>
      <c r="AC288" s="2"/>
      <c r="AG288" s="787"/>
      <c r="AH288" s="788"/>
      <c r="AK288" s="777"/>
      <c r="AN288" s="2"/>
      <c r="AO288"/>
    </row>
    <row r="289" spans="1:41" ht="12.75" customHeight="1">
      <c r="A289" s="3">
        <v>43</v>
      </c>
      <c r="B289" s="3"/>
      <c r="C289" s="4">
        <v>2</v>
      </c>
      <c r="D289" s="19">
        <v>705</v>
      </c>
      <c r="E289" s="4">
        <v>711</v>
      </c>
      <c r="F289" s="4">
        <v>716</v>
      </c>
      <c r="G289" s="4">
        <v>721</v>
      </c>
      <c r="H289" s="1016">
        <v>727</v>
      </c>
      <c r="I289" s="4">
        <v>732</v>
      </c>
      <c r="J289" s="4">
        <v>737</v>
      </c>
      <c r="K289" s="4">
        <v>743</v>
      </c>
      <c r="L289" s="4">
        <v>748</v>
      </c>
      <c r="M289" s="4">
        <v>753</v>
      </c>
      <c r="N289" s="19">
        <v>759</v>
      </c>
      <c r="P289"/>
      <c r="R289"/>
      <c r="S289"/>
      <c r="V289"/>
      <c r="AC289" s="2"/>
      <c r="AG289" s="787"/>
      <c r="AH289" s="788"/>
      <c r="AK289" s="777"/>
      <c r="AN289" s="2"/>
      <c r="AO289"/>
    </row>
    <row r="290" spans="1:41" ht="12.75" customHeight="1">
      <c r="A290" s="3">
        <v>44</v>
      </c>
      <c r="B290" s="3"/>
      <c r="C290" s="4">
        <v>3</v>
      </c>
      <c r="D290" s="19">
        <v>759</v>
      </c>
      <c r="E290" s="4">
        <v>764</v>
      </c>
      <c r="F290" s="4">
        <v>769</v>
      </c>
      <c r="G290" s="4">
        <v>775</v>
      </c>
      <c r="H290" s="1016">
        <v>780</v>
      </c>
      <c r="I290" s="4">
        <v>785</v>
      </c>
      <c r="J290" s="4">
        <v>791</v>
      </c>
      <c r="K290" s="4">
        <v>796</v>
      </c>
      <c r="L290" s="4">
        <v>803</v>
      </c>
      <c r="M290" s="4">
        <v>808</v>
      </c>
      <c r="N290" s="19">
        <v>813</v>
      </c>
      <c r="P290"/>
      <c r="R290"/>
      <c r="S290"/>
      <c r="V290"/>
      <c r="AC290" s="2"/>
      <c r="AG290" s="787"/>
      <c r="AH290" s="788"/>
      <c r="AK290" s="777"/>
      <c r="AN290" s="2"/>
      <c r="AO290"/>
    </row>
    <row r="291" spans="1:41" ht="12.75" customHeight="1">
      <c r="A291" s="3">
        <v>45</v>
      </c>
      <c r="B291" s="3"/>
      <c r="C291" s="4">
        <v>4</v>
      </c>
      <c r="D291" s="19">
        <v>813</v>
      </c>
      <c r="E291" s="4">
        <v>819</v>
      </c>
      <c r="F291" s="4">
        <v>825</v>
      </c>
      <c r="G291" s="4">
        <v>831</v>
      </c>
      <c r="H291" s="1016">
        <v>836</v>
      </c>
      <c r="I291" s="4">
        <v>843</v>
      </c>
      <c r="J291" s="4">
        <v>848</v>
      </c>
      <c r="K291" s="4">
        <v>855</v>
      </c>
      <c r="L291" s="4">
        <v>860</v>
      </c>
      <c r="M291" s="4">
        <v>867</v>
      </c>
      <c r="N291" s="19">
        <v>872</v>
      </c>
      <c r="P291"/>
      <c r="R291"/>
      <c r="S291"/>
      <c r="V291"/>
      <c r="AC291" s="2"/>
      <c r="AG291" s="787"/>
      <c r="AH291" s="788"/>
      <c r="AK291" s="777"/>
      <c r="AN291" s="2"/>
      <c r="AO291"/>
    </row>
    <row r="292" spans="1:41" ht="12.75" customHeight="1">
      <c r="A292" s="3">
        <v>46</v>
      </c>
      <c r="B292" s="3"/>
      <c r="C292" s="4">
        <v>5</v>
      </c>
      <c r="D292" s="19">
        <v>872</v>
      </c>
      <c r="E292" s="4">
        <v>879</v>
      </c>
      <c r="F292" s="4">
        <v>885</v>
      </c>
      <c r="G292" s="4">
        <v>890</v>
      </c>
      <c r="H292" s="1016">
        <v>897</v>
      </c>
      <c r="I292" s="4">
        <v>904</v>
      </c>
      <c r="J292" s="4">
        <v>909</v>
      </c>
      <c r="K292" s="4">
        <v>916</v>
      </c>
      <c r="L292" s="4">
        <v>923</v>
      </c>
      <c r="M292" s="4">
        <v>929</v>
      </c>
      <c r="N292" s="19">
        <v>936</v>
      </c>
      <c r="P292"/>
      <c r="R292"/>
      <c r="S292"/>
      <c r="V292"/>
      <c r="AC292" s="2"/>
      <c r="AG292" s="787"/>
      <c r="AH292" s="788"/>
      <c r="AK292" s="777"/>
      <c r="AN292" s="2"/>
      <c r="AO292"/>
    </row>
    <row r="293" spans="1:41" ht="12.75" customHeight="1">
      <c r="A293" s="3">
        <v>47</v>
      </c>
      <c r="B293" s="3"/>
      <c r="C293" s="4">
        <v>6</v>
      </c>
      <c r="D293" s="19">
        <v>936</v>
      </c>
      <c r="E293" s="4">
        <v>941</v>
      </c>
      <c r="F293" s="4">
        <v>948</v>
      </c>
      <c r="G293" s="4">
        <v>956</v>
      </c>
      <c r="H293" s="1016">
        <v>961</v>
      </c>
      <c r="I293" s="4">
        <v>968</v>
      </c>
      <c r="J293" s="4">
        <v>975</v>
      </c>
      <c r="K293" s="4">
        <v>981</v>
      </c>
      <c r="L293" s="4">
        <v>988</v>
      </c>
      <c r="M293" s="4">
        <v>995</v>
      </c>
      <c r="N293" s="19">
        <v>1000</v>
      </c>
      <c r="P293"/>
      <c r="R293"/>
      <c r="S293"/>
      <c r="V293"/>
      <c r="AC293" s="2"/>
      <c r="AG293" s="787"/>
      <c r="AH293" s="788"/>
      <c r="AK293" s="777"/>
      <c r="AN293" s="2"/>
      <c r="AO293"/>
    </row>
    <row r="294" spans="1:41" ht="12.75" customHeight="1">
      <c r="A294" s="3">
        <v>48</v>
      </c>
      <c r="B294" s="3"/>
      <c r="C294" s="4">
        <v>7</v>
      </c>
      <c r="D294" s="19">
        <v>1000</v>
      </c>
      <c r="E294" s="4">
        <v>1009</v>
      </c>
      <c r="F294" s="4">
        <v>1016</v>
      </c>
      <c r="G294" s="4">
        <v>1024</v>
      </c>
      <c r="H294" s="1016">
        <v>1029</v>
      </c>
      <c r="I294" s="4">
        <v>1037</v>
      </c>
      <c r="J294" s="4">
        <v>1044</v>
      </c>
      <c r="K294" s="4">
        <v>1051</v>
      </c>
      <c r="L294" s="4">
        <v>1059</v>
      </c>
      <c r="M294" s="4">
        <v>1065</v>
      </c>
      <c r="N294" s="19">
        <v>1072</v>
      </c>
      <c r="P294"/>
      <c r="R294"/>
      <c r="S294"/>
      <c r="V294"/>
      <c r="AC294" s="2"/>
      <c r="AG294" s="787"/>
      <c r="AH294" s="788"/>
      <c r="AK294" s="777"/>
      <c r="AN294" s="2"/>
      <c r="AO294"/>
    </row>
    <row r="295" spans="1:41" ht="12.75" customHeight="1">
      <c r="A295" s="3">
        <v>49</v>
      </c>
      <c r="B295" s="3"/>
      <c r="C295" s="4">
        <v>8</v>
      </c>
      <c r="D295" s="19">
        <v>1072</v>
      </c>
      <c r="E295" s="4">
        <v>1080</v>
      </c>
      <c r="F295" s="4">
        <v>1088</v>
      </c>
      <c r="G295" s="4">
        <v>1095</v>
      </c>
      <c r="H295" s="1016">
        <v>1103</v>
      </c>
      <c r="I295" s="4">
        <v>1189</v>
      </c>
      <c r="J295" s="4">
        <v>1117</v>
      </c>
      <c r="K295" s="4">
        <v>1125</v>
      </c>
      <c r="L295" s="4">
        <v>1132</v>
      </c>
      <c r="M295" s="4">
        <v>1140</v>
      </c>
      <c r="N295" s="19">
        <v>1148</v>
      </c>
      <c r="P295"/>
      <c r="R295"/>
      <c r="S295"/>
      <c r="V295"/>
      <c r="AC295" s="2"/>
      <c r="AG295" s="787"/>
      <c r="AH295" s="788"/>
      <c r="AK295" s="777"/>
      <c r="AN295" s="2"/>
      <c r="AO295"/>
    </row>
    <row r="296" spans="1:41" ht="12.75" customHeight="1">
      <c r="A296" s="3">
        <v>50</v>
      </c>
      <c r="B296" s="3"/>
      <c r="C296" s="4">
        <v>9</v>
      </c>
      <c r="D296" s="19">
        <v>1148</v>
      </c>
      <c r="E296" s="4">
        <v>1156</v>
      </c>
      <c r="F296" s="4">
        <v>1164</v>
      </c>
      <c r="G296" s="4">
        <v>1172</v>
      </c>
      <c r="H296" s="1016">
        <v>1180</v>
      </c>
      <c r="I296" s="4">
        <v>1188</v>
      </c>
      <c r="J296" s="4">
        <v>1196</v>
      </c>
      <c r="K296" s="4">
        <v>1204</v>
      </c>
      <c r="L296" s="4">
        <v>1212</v>
      </c>
      <c r="M296" s="4">
        <v>1220</v>
      </c>
      <c r="N296" s="19">
        <v>1228</v>
      </c>
      <c r="P296"/>
      <c r="R296"/>
      <c r="S296"/>
      <c r="V296"/>
      <c r="AC296" s="2"/>
      <c r="AG296" s="787"/>
      <c r="AH296" s="788"/>
      <c r="AK296" s="777"/>
      <c r="AN296" s="2"/>
      <c r="AO296"/>
    </row>
    <row r="297" spans="1:41" ht="12.75" customHeight="1">
      <c r="A297" s="3">
        <v>51</v>
      </c>
      <c r="B297" s="3"/>
      <c r="C297" s="4">
        <v>10</v>
      </c>
      <c r="D297" s="19">
        <v>1228</v>
      </c>
      <c r="E297" s="4">
        <v>1236</v>
      </c>
      <c r="F297" s="4">
        <v>1244</v>
      </c>
      <c r="G297" s="4">
        <v>1253</v>
      </c>
      <c r="H297" s="1016">
        <v>1261</v>
      </c>
      <c r="I297" s="4">
        <v>1269</v>
      </c>
      <c r="J297" s="4">
        <v>1279</v>
      </c>
      <c r="K297" s="4">
        <v>1287</v>
      </c>
      <c r="L297" s="4">
        <v>1285</v>
      </c>
      <c r="M297" s="4">
        <v>1304</v>
      </c>
      <c r="N297" s="19">
        <v>1312</v>
      </c>
      <c r="P297"/>
      <c r="R297"/>
      <c r="S297"/>
      <c r="V297"/>
      <c r="AC297" s="2"/>
      <c r="AG297" s="787"/>
      <c r="AH297" s="788"/>
      <c r="AK297" s="777"/>
      <c r="AN297" s="2"/>
      <c r="AO297"/>
    </row>
    <row r="298" spans="1:41" ht="12.75" customHeight="1">
      <c r="A298" s="3">
        <v>52</v>
      </c>
      <c r="B298" s="3"/>
      <c r="C298" s="4">
        <v>11</v>
      </c>
      <c r="D298" s="19">
        <v>1312</v>
      </c>
      <c r="E298" s="4">
        <v>1321</v>
      </c>
      <c r="F298" s="4">
        <v>1331</v>
      </c>
      <c r="G298" s="4">
        <v>1339</v>
      </c>
      <c r="H298" s="1016">
        <v>1348</v>
      </c>
      <c r="I298" s="4">
        <v>1455</v>
      </c>
      <c r="J298" s="4">
        <v>1365</v>
      </c>
      <c r="K298" s="4">
        <v>1375</v>
      </c>
      <c r="L298" s="4">
        <v>1384</v>
      </c>
      <c r="M298" s="4">
        <v>1323</v>
      </c>
      <c r="N298" s="19">
        <v>1403</v>
      </c>
      <c r="P298"/>
      <c r="R298"/>
      <c r="S298"/>
      <c r="V298"/>
      <c r="AC298" s="2"/>
      <c r="AG298" s="787"/>
      <c r="AH298" s="788"/>
      <c r="AK298" s="777"/>
      <c r="AN298" s="2"/>
      <c r="AO298"/>
    </row>
    <row r="299" spans="1:41" ht="12.75" customHeight="1">
      <c r="A299" s="3">
        <v>53</v>
      </c>
      <c r="B299" s="3"/>
      <c r="C299" s="4">
        <v>12</v>
      </c>
      <c r="D299" s="19">
        <v>1403</v>
      </c>
      <c r="E299" s="4">
        <v>1412</v>
      </c>
      <c r="F299" s="4">
        <v>1421</v>
      </c>
      <c r="G299" s="4">
        <v>1431</v>
      </c>
      <c r="H299" s="1016">
        <v>1440</v>
      </c>
      <c r="I299" s="4">
        <v>1449</v>
      </c>
      <c r="J299" s="4">
        <v>1459</v>
      </c>
      <c r="K299" s="4">
        <v>1468</v>
      </c>
      <c r="L299" s="4">
        <v>1479</v>
      </c>
      <c r="M299" s="4">
        <v>1488</v>
      </c>
      <c r="N299" s="19">
        <v>1497</v>
      </c>
      <c r="P299"/>
      <c r="R299"/>
      <c r="S299"/>
      <c r="V299"/>
      <c r="AC299" s="2"/>
      <c r="AG299" s="787"/>
      <c r="AH299" s="788"/>
      <c r="AK299" s="777"/>
      <c r="AN299" s="2"/>
      <c r="AO299"/>
    </row>
    <row r="300" spans="1:41" ht="12.75" customHeight="1">
      <c r="A300" s="3">
        <v>54</v>
      </c>
      <c r="B300" s="3"/>
      <c r="C300" s="4">
        <v>13</v>
      </c>
      <c r="D300" s="19">
        <v>1497</v>
      </c>
      <c r="E300" s="4">
        <v>1508</v>
      </c>
      <c r="F300" s="4">
        <v>1517</v>
      </c>
      <c r="G300" s="4">
        <v>1527</v>
      </c>
      <c r="H300" s="1016">
        <v>1537</v>
      </c>
      <c r="I300" s="4">
        <v>1547</v>
      </c>
      <c r="J300" s="4">
        <v>1557</v>
      </c>
      <c r="K300" s="4">
        <v>1568</v>
      </c>
      <c r="L300" s="4">
        <v>1557</v>
      </c>
      <c r="M300" s="4">
        <v>1588</v>
      </c>
      <c r="N300" s="19">
        <v>1599</v>
      </c>
      <c r="P300"/>
      <c r="R300"/>
      <c r="S300"/>
      <c r="V300"/>
      <c r="AC300" s="2"/>
      <c r="AG300" s="787"/>
      <c r="AH300" s="788"/>
      <c r="AK300" s="777"/>
      <c r="AN300" s="2"/>
      <c r="AO300"/>
    </row>
    <row r="301" spans="1:41" ht="12.75" customHeight="1">
      <c r="A301" s="3">
        <v>55</v>
      </c>
      <c r="B301" s="3"/>
      <c r="C301" s="4">
        <v>14</v>
      </c>
      <c r="D301" s="19">
        <v>1599</v>
      </c>
      <c r="E301" s="4">
        <v>1609</v>
      </c>
      <c r="F301" s="4">
        <v>1619</v>
      </c>
      <c r="G301" s="4">
        <v>1629</v>
      </c>
      <c r="H301" s="1016">
        <v>1640</v>
      </c>
      <c r="I301" s="4">
        <v>1651</v>
      </c>
      <c r="J301" s="4">
        <v>1661</v>
      </c>
      <c r="K301" s="4">
        <v>1672</v>
      </c>
      <c r="L301" s="4">
        <v>1683</v>
      </c>
      <c r="M301" s="4">
        <v>1807</v>
      </c>
      <c r="N301" s="19">
        <v>1705</v>
      </c>
      <c r="P301"/>
      <c r="R301"/>
      <c r="S301"/>
      <c r="V301"/>
      <c r="AC301" s="2"/>
      <c r="AG301" s="787"/>
      <c r="AH301" s="788"/>
      <c r="AK301" s="777"/>
      <c r="AN301" s="2"/>
      <c r="AO301"/>
    </row>
    <row r="302" spans="1:41" ht="12.75" customHeight="1">
      <c r="A302" s="3">
        <v>56</v>
      </c>
      <c r="B302" s="3"/>
      <c r="C302" s="4">
        <v>15</v>
      </c>
      <c r="D302" s="19">
        <v>1705</v>
      </c>
      <c r="E302" s="4">
        <v>1716</v>
      </c>
      <c r="F302" s="4">
        <v>1727</v>
      </c>
      <c r="G302" s="4">
        <v>1739</v>
      </c>
      <c r="H302" s="1016">
        <v>1749</v>
      </c>
      <c r="I302" s="4">
        <v>1761</v>
      </c>
      <c r="J302" s="4">
        <v>1772</v>
      </c>
      <c r="K302" s="4">
        <v>1784</v>
      </c>
      <c r="L302" s="4">
        <v>1795</v>
      </c>
      <c r="M302" s="4">
        <v>1807</v>
      </c>
      <c r="N302" s="19">
        <v>1817</v>
      </c>
      <c r="P302"/>
      <c r="R302"/>
      <c r="S302"/>
      <c r="V302"/>
      <c r="AC302" s="2"/>
      <c r="AG302" s="787"/>
      <c r="AH302" s="788"/>
      <c r="AK302" s="777"/>
      <c r="AN302" s="2"/>
      <c r="AO302"/>
    </row>
    <row r="303" spans="1:41" ht="12.75" customHeight="1">
      <c r="A303" s="3">
        <v>57</v>
      </c>
      <c r="B303" s="3"/>
      <c r="C303" s="4">
        <v>16</v>
      </c>
      <c r="D303" s="19">
        <v>1817</v>
      </c>
      <c r="E303" s="4">
        <v>1829</v>
      </c>
      <c r="F303" s="4">
        <v>1814</v>
      </c>
      <c r="G303" s="4">
        <v>1853</v>
      </c>
      <c r="H303" s="1016">
        <v>1865</v>
      </c>
      <c r="I303" s="4">
        <v>1877</v>
      </c>
      <c r="J303" s="4">
        <v>1889</v>
      </c>
      <c r="K303" s="4">
        <v>1901</v>
      </c>
      <c r="L303" s="4">
        <v>1913</v>
      </c>
      <c r="M303" s="4">
        <v>1925</v>
      </c>
      <c r="N303" s="19">
        <v>1937</v>
      </c>
      <c r="P303"/>
      <c r="R303"/>
      <c r="S303"/>
      <c r="V303"/>
      <c r="AC303" s="2"/>
      <c r="AG303" s="787"/>
      <c r="AH303" s="788"/>
      <c r="AK303" s="777"/>
      <c r="AN303" s="2"/>
      <c r="AO303"/>
    </row>
    <row r="304" spans="1:41" ht="12.75" customHeight="1">
      <c r="A304" s="3">
        <v>58</v>
      </c>
      <c r="B304" s="3"/>
      <c r="C304" s="4">
        <v>17</v>
      </c>
      <c r="D304" s="19">
        <v>1937</v>
      </c>
      <c r="E304" s="4">
        <v>1949</v>
      </c>
      <c r="F304" s="4">
        <v>1962</v>
      </c>
      <c r="G304" s="4">
        <v>1974</v>
      </c>
      <c r="H304" s="1016">
        <v>1986</v>
      </c>
      <c r="I304" s="4">
        <v>2000</v>
      </c>
      <c r="J304" s="4">
        <v>2012</v>
      </c>
      <c r="K304" s="4">
        <v>2025</v>
      </c>
      <c r="L304" s="4">
        <v>2037</v>
      </c>
      <c r="M304" s="4">
        <v>2050</v>
      </c>
      <c r="N304" s="19">
        <v>2064</v>
      </c>
      <c r="P304"/>
      <c r="R304"/>
      <c r="S304"/>
      <c r="V304"/>
      <c r="AC304" s="2"/>
      <c r="AG304" s="787"/>
      <c r="AH304" s="788"/>
      <c r="AK304" s="777"/>
      <c r="AN304" s="2"/>
      <c r="AO304"/>
    </row>
    <row r="305" spans="1:41" ht="12.75" customHeight="1">
      <c r="A305" s="3">
        <v>59</v>
      </c>
      <c r="B305" s="3"/>
      <c r="C305" s="4">
        <v>18</v>
      </c>
      <c r="D305" s="19">
        <v>2064</v>
      </c>
      <c r="E305" s="4">
        <v>2077</v>
      </c>
      <c r="F305" s="4">
        <v>2089</v>
      </c>
      <c r="G305" s="4">
        <v>2102</v>
      </c>
      <c r="H305" s="1016">
        <v>2115</v>
      </c>
      <c r="I305" s="4">
        <v>2129</v>
      </c>
      <c r="J305" s="4">
        <v>2142</v>
      </c>
      <c r="K305" s="4">
        <v>2156</v>
      </c>
      <c r="L305" s="4">
        <v>2169</v>
      </c>
      <c r="M305" s="4">
        <v>2182</v>
      </c>
      <c r="N305" s="19">
        <v>2197</v>
      </c>
      <c r="P305"/>
      <c r="R305"/>
      <c r="S305"/>
      <c r="V305"/>
      <c r="AC305" s="2"/>
      <c r="AG305" s="787"/>
      <c r="AH305" s="788"/>
      <c r="AK305" s="777"/>
      <c r="AN305" s="2"/>
      <c r="AO305"/>
    </row>
    <row r="306" spans="1:41" ht="12.75" customHeight="1">
      <c r="A306" s="3">
        <v>60</v>
      </c>
      <c r="B306" s="3"/>
      <c r="C306" s="4">
        <v>19</v>
      </c>
      <c r="D306" s="19">
        <v>2197</v>
      </c>
      <c r="E306" s="4">
        <v>2210</v>
      </c>
      <c r="F306" s="4">
        <v>2225</v>
      </c>
      <c r="G306" s="4">
        <v>2238</v>
      </c>
      <c r="H306" s="1016">
        <v>2252</v>
      </c>
      <c r="I306" s="4">
        <v>2266</v>
      </c>
      <c r="J306" s="4">
        <v>2281</v>
      </c>
      <c r="K306" s="4">
        <v>2294</v>
      </c>
      <c r="L306" s="4">
        <v>2309</v>
      </c>
      <c r="M306" s="4">
        <v>2324</v>
      </c>
      <c r="N306" s="19">
        <v>2338</v>
      </c>
      <c r="P306"/>
      <c r="R306"/>
      <c r="S306"/>
      <c r="V306"/>
      <c r="AC306" s="2"/>
      <c r="AG306" s="787"/>
      <c r="AH306" s="788"/>
      <c r="AK306" s="777"/>
      <c r="AN306" s="2"/>
      <c r="AO306"/>
    </row>
    <row r="307" spans="1:41" ht="12.75" customHeight="1">
      <c r="A307" s="3">
        <v>61</v>
      </c>
      <c r="B307" s="3"/>
      <c r="C307" s="4">
        <v>20</v>
      </c>
      <c r="D307" s="19">
        <v>2338</v>
      </c>
      <c r="E307" s="4">
        <v>2352</v>
      </c>
      <c r="F307" s="4">
        <v>2366</v>
      </c>
      <c r="G307" s="4">
        <v>2381</v>
      </c>
      <c r="H307" s="1016">
        <v>2396</v>
      </c>
      <c r="I307" s="4">
        <v>2412</v>
      </c>
      <c r="J307" s="4">
        <v>2426</v>
      </c>
      <c r="K307" s="4">
        <v>2441</v>
      </c>
      <c r="L307" s="4">
        <v>2456</v>
      </c>
      <c r="M307" s="4">
        <v>2471</v>
      </c>
      <c r="N307" s="19">
        <v>2488</v>
      </c>
      <c r="P307"/>
      <c r="R307"/>
      <c r="S307"/>
      <c r="V307"/>
      <c r="AC307" s="2"/>
      <c r="AG307" s="787"/>
      <c r="AH307" s="788"/>
      <c r="AK307" s="777"/>
      <c r="AN307" s="2"/>
      <c r="AO307"/>
    </row>
    <row r="308" spans="1:41" ht="12.75" customHeight="1">
      <c r="A308" s="3">
        <v>62</v>
      </c>
      <c r="B308" s="3"/>
      <c r="C308" s="4">
        <v>21</v>
      </c>
      <c r="D308" s="19">
        <v>2488</v>
      </c>
      <c r="E308" s="4">
        <v>2502</v>
      </c>
      <c r="F308" s="4">
        <v>2517</v>
      </c>
      <c r="G308" s="4">
        <v>2533</v>
      </c>
      <c r="H308" s="1016">
        <v>2542</v>
      </c>
      <c r="I308" s="4">
        <v>2564</v>
      </c>
      <c r="J308" s="4">
        <v>2580</v>
      </c>
      <c r="K308" s="4">
        <v>2596</v>
      </c>
      <c r="L308" s="4">
        <v>2612</v>
      </c>
      <c r="M308" s="4">
        <v>2628</v>
      </c>
      <c r="N308" s="19">
        <v>2644</v>
      </c>
      <c r="P308"/>
      <c r="R308"/>
      <c r="S308"/>
      <c r="V308"/>
      <c r="AC308" s="2"/>
      <c r="AG308" s="787"/>
      <c r="AH308" s="788"/>
      <c r="AK308" s="777"/>
      <c r="AN308" s="2"/>
      <c r="AO308"/>
    </row>
    <row r="309" spans="1:41" ht="12.75" customHeight="1">
      <c r="A309" s="3">
        <v>63</v>
      </c>
      <c r="B309" s="3"/>
      <c r="C309" s="4">
        <v>22</v>
      </c>
      <c r="D309" s="19">
        <v>2644</v>
      </c>
      <c r="E309" s="4">
        <v>2660</v>
      </c>
      <c r="F309" s="4">
        <v>2676</v>
      </c>
      <c r="G309" s="4">
        <v>2691</v>
      </c>
      <c r="H309" s="1016">
        <v>2709</v>
      </c>
      <c r="I309" s="4">
        <v>2725</v>
      </c>
      <c r="J309" s="4">
        <v>2742</v>
      </c>
      <c r="K309" s="4">
        <v>2758</v>
      </c>
      <c r="L309" s="4">
        <v>2776</v>
      </c>
      <c r="M309" s="4">
        <v>2792</v>
      </c>
      <c r="N309" s="19">
        <v>2809</v>
      </c>
      <c r="P309"/>
      <c r="R309"/>
      <c r="S309"/>
      <c r="V309"/>
      <c r="AC309" s="2"/>
      <c r="AG309" s="787"/>
      <c r="AH309" s="788"/>
      <c r="AK309" s="777"/>
      <c r="AN309" s="2"/>
      <c r="AO309"/>
    </row>
    <row r="310" spans="1:41" ht="12.75" customHeight="1">
      <c r="A310" s="3">
        <v>64</v>
      </c>
      <c r="B310" s="3"/>
      <c r="C310" s="4">
        <v>23</v>
      </c>
      <c r="D310" s="19">
        <v>2809</v>
      </c>
      <c r="E310" s="4">
        <v>2826</v>
      </c>
      <c r="F310" s="4">
        <v>2842</v>
      </c>
      <c r="G310" s="4">
        <v>2860</v>
      </c>
      <c r="H310" s="1016">
        <v>2877</v>
      </c>
      <c r="I310" s="4">
        <v>2894</v>
      </c>
      <c r="J310" s="4">
        <v>2913</v>
      </c>
      <c r="K310" s="4">
        <v>2930</v>
      </c>
      <c r="L310" s="4">
        <v>2948</v>
      </c>
      <c r="M310" s="4">
        <v>2965</v>
      </c>
      <c r="N310" s="19">
        <v>2984</v>
      </c>
      <c r="P310"/>
      <c r="R310"/>
      <c r="S310"/>
      <c r="V310"/>
      <c r="AC310" s="2"/>
      <c r="AG310" s="787"/>
      <c r="AH310" s="788"/>
      <c r="AK310" s="777"/>
      <c r="AN310" s="2"/>
      <c r="AO310"/>
    </row>
    <row r="311" spans="1:41" ht="12.75" customHeight="1">
      <c r="A311" s="3">
        <v>65</v>
      </c>
      <c r="B311" s="3"/>
      <c r="C311" s="4">
        <v>24</v>
      </c>
      <c r="D311" s="19">
        <v>2984</v>
      </c>
      <c r="E311" s="4">
        <v>3001</v>
      </c>
      <c r="F311" s="4">
        <v>3020</v>
      </c>
      <c r="G311" s="4">
        <v>3038</v>
      </c>
      <c r="H311" s="1016">
        <v>3056</v>
      </c>
      <c r="I311" s="4">
        <v>3074</v>
      </c>
      <c r="J311" s="4">
        <v>3093</v>
      </c>
      <c r="K311" s="4">
        <v>3112</v>
      </c>
      <c r="L311" s="4">
        <v>3130</v>
      </c>
      <c r="M311" s="4">
        <v>3149</v>
      </c>
      <c r="N311" s="19">
        <v>3168</v>
      </c>
      <c r="P311"/>
      <c r="R311"/>
      <c r="S311"/>
      <c r="V311"/>
      <c r="AC311" s="2"/>
      <c r="AG311" s="787"/>
      <c r="AH311" s="788"/>
      <c r="AK311" s="777"/>
      <c r="AN311" s="2"/>
      <c r="AO311"/>
    </row>
    <row r="312" spans="1:41" ht="12.75" customHeight="1">
      <c r="A312" s="3">
        <v>66</v>
      </c>
      <c r="B312" s="3"/>
      <c r="C312" s="4">
        <v>25</v>
      </c>
      <c r="D312" s="19">
        <v>3168</v>
      </c>
      <c r="E312" s="4">
        <v>3186</v>
      </c>
      <c r="F312" s="4">
        <v>3205</v>
      </c>
      <c r="G312" s="4">
        <v>3224</v>
      </c>
      <c r="H312" s="1016">
        <v>3244</v>
      </c>
      <c r="I312" s="4">
        <v>3262</v>
      </c>
      <c r="J312" s="4">
        <v>3282</v>
      </c>
      <c r="K312" s="4">
        <v>3301</v>
      </c>
      <c r="L312" s="4">
        <v>3321</v>
      </c>
      <c r="M312" s="4">
        <v>3341</v>
      </c>
      <c r="N312" s="19">
        <v>3363</v>
      </c>
      <c r="P312"/>
      <c r="R312"/>
      <c r="S312"/>
      <c r="V312"/>
      <c r="AC312" s="2"/>
      <c r="AG312" s="787"/>
      <c r="AH312" s="788"/>
      <c r="AK312" s="777"/>
      <c r="AN312" s="2"/>
      <c r="AO312"/>
    </row>
    <row r="313" spans="1:41" ht="12.75" customHeight="1">
      <c r="A313" s="3">
        <v>67</v>
      </c>
      <c r="B313" s="3"/>
      <c r="C313" s="4">
        <v>26</v>
      </c>
      <c r="D313" s="19">
        <v>3363</v>
      </c>
      <c r="E313" s="4">
        <v>3381</v>
      </c>
      <c r="F313" s="4">
        <v>3401</v>
      </c>
      <c r="G313" s="4">
        <v>3421</v>
      </c>
      <c r="H313" s="1016">
        <v>3441</v>
      </c>
      <c r="I313" s="4">
        <v>3461</v>
      </c>
      <c r="J313" s="4">
        <v>3481</v>
      </c>
      <c r="K313" s="4">
        <v>3502</v>
      </c>
      <c r="L313" s="4">
        <v>3523</v>
      </c>
      <c r="M313" s="4">
        <v>3544</v>
      </c>
      <c r="N313" s="19">
        <v>3567</v>
      </c>
      <c r="P313"/>
      <c r="R313"/>
      <c r="S313"/>
      <c r="V313"/>
      <c r="AC313" s="2"/>
      <c r="AG313" s="787"/>
      <c r="AH313" s="788"/>
      <c r="AK313" s="777"/>
      <c r="AN313" s="2"/>
      <c r="AO313"/>
    </row>
    <row r="314" spans="1:41" ht="12.75" customHeight="1">
      <c r="A314" s="3">
        <v>68</v>
      </c>
      <c r="B314" s="3"/>
      <c r="C314" s="4">
        <v>27</v>
      </c>
      <c r="D314" s="19">
        <v>3567</v>
      </c>
      <c r="E314" s="4">
        <v>3586</v>
      </c>
      <c r="F314" s="4">
        <v>3608</v>
      </c>
      <c r="G314" s="4">
        <v>2628</v>
      </c>
      <c r="H314" s="1016">
        <v>3649</v>
      </c>
      <c r="I314" s="4">
        <v>3672</v>
      </c>
      <c r="J314" s="4">
        <v>3692</v>
      </c>
      <c r="K314" s="4">
        <v>3714</v>
      </c>
      <c r="L314" s="4">
        <v>3796</v>
      </c>
      <c r="M314" s="4">
        <v>3758</v>
      </c>
      <c r="N314" s="19">
        <v>3782</v>
      </c>
      <c r="P314"/>
      <c r="R314"/>
      <c r="S314"/>
      <c r="V314"/>
      <c r="AC314" s="2"/>
      <c r="AG314" s="787"/>
      <c r="AH314" s="788"/>
      <c r="AK314" s="777"/>
      <c r="AN314" s="2"/>
      <c r="AO314"/>
    </row>
    <row r="315" spans="1:41" ht="12.75" customHeight="1">
      <c r="A315" s="3">
        <v>69</v>
      </c>
      <c r="B315" s="3"/>
      <c r="C315" s="4">
        <v>28</v>
      </c>
      <c r="D315" s="19">
        <v>3782</v>
      </c>
      <c r="E315" s="4">
        <v>3801</v>
      </c>
      <c r="F315" s="4">
        <v>3824</v>
      </c>
      <c r="G315" s="4">
        <v>3846</v>
      </c>
      <c r="H315" s="1016">
        <v>3869</v>
      </c>
      <c r="I315" s="4">
        <v>3890</v>
      </c>
      <c r="J315" s="4">
        <v>3913</v>
      </c>
      <c r="K315" s="4">
        <v>3937</v>
      </c>
      <c r="L315" s="4">
        <v>3960</v>
      </c>
      <c r="M315" s="4">
        <v>3982</v>
      </c>
      <c r="N315" s="19">
        <v>4005</v>
      </c>
      <c r="P315"/>
      <c r="R315"/>
      <c r="S315"/>
      <c r="V315"/>
      <c r="AC315" s="2"/>
      <c r="AG315" s="787"/>
      <c r="AH315" s="788"/>
      <c r="AK315" s="777"/>
      <c r="AN315" s="2"/>
      <c r="AO315"/>
    </row>
    <row r="316" spans="1:41" ht="12.75" customHeight="1">
      <c r="A316" s="3">
        <v>70</v>
      </c>
      <c r="B316" s="3"/>
      <c r="C316" s="4">
        <v>29</v>
      </c>
      <c r="D316" s="19">
        <v>4005</v>
      </c>
      <c r="E316" s="4">
        <v>4029</v>
      </c>
      <c r="F316" s="4">
        <v>4052</v>
      </c>
      <c r="G316" s="4">
        <v>4076</v>
      </c>
      <c r="H316" s="1016">
        <v>4100</v>
      </c>
      <c r="I316" s="4">
        <v>4122</v>
      </c>
      <c r="J316" s="4">
        <v>4146</v>
      </c>
      <c r="K316" s="4">
        <v>4170</v>
      </c>
      <c r="L316" s="4">
        <v>4194</v>
      </c>
      <c r="M316" s="4">
        <v>4218</v>
      </c>
      <c r="N316" s="19">
        <v>4246</v>
      </c>
      <c r="P316"/>
      <c r="R316"/>
      <c r="S316"/>
      <c r="V316"/>
      <c r="AC316" s="2"/>
      <c r="AG316" s="787"/>
      <c r="AH316" s="788"/>
      <c r="AK316" s="777"/>
      <c r="AN316" s="2"/>
      <c r="AO316"/>
    </row>
    <row r="317" spans="1:41" ht="12.75" customHeight="1" thickBot="1">
      <c r="A317" s="3">
        <v>71</v>
      </c>
      <c r="B317" s="3"/>
      <c r="C317" s="4">
        <v>30</v>
      </c>
      <c r="D317" s="19">
        <v>4246</v>
      </c>
      <c r="E317" s="4">
        <v>4268</v>
      </c>
      <c r="F317" s="4">
        <v>4292</v>
      </c>
      <c r="G317" s="4">
        <v>4317</v>
      </c>
      <c r="H317" s="1016">
        <v>4341</v>
      </c>
      <c r="I317" s="4">
        <v>4366</v>
      </c>
      <c r="J317" s="4">
        <v>4890</v>
      </c>
      <c r="K317" s="4">
        <v>4416</v>
      </c>
      <c r="L317" s="4">
        <v>4441</v>
      </c>
      <c r="M317" s="4">
        <v>4466</v>
      </c>
      <c r="N317" s="20"/>
      <c r="P317"/>
      <c r="R317"/>
      <c r="S317"/>
      <c r="V317"/>
      <c r="AC317" s="2"/>
      <c r="AG317" s="787"/>
      <c r="AH317" s="788"/>
      <c r="AK317" s="777"/>
      <c r="AN317" s="2"/>
      <c r="AO317"/>
    </row>
    <row r="318" spans="1:41" ht="12.75" customHeight="1" thickBot="1">
      <c r="A318" s="3"/>
      <c r="B318" s="3"/>
      <c r="C318" s="4"/>
      <c r="D318" s="20"/>
      <c r="E318" s="21"/>
      <c r="F318" s="21"/>
      <c r="G318" s="21"/>
      <c r="H318" s="873"/>
      <c r="I318" s="21"/>
      <c r="J318" s="21"/>
      <c r="K318" s="21"/>
      <c r="L318" s="21"/>
      <c r="M318" s="21"/>
      <c r="N318" s="22"/>
      <c r="P318"/>
      <c r="R318"/>
      <c r="S318"/>
      <c r="V318"/>
      <c r="AC318" s="2"/>
      <c r="AG318" s="787"/>
      <c r="AH318" s="788"/>
      <c r="AK318" s="777"/>
      <c r="AN318" s="2"/>
      <c r="AO318"/>
    </row>
    <row r="319" spans="4:41" ht="12.75" customHeight="1">
      <c r="D319"/>
      <c r="H319" s="1"/>
      <c r="I319"/>
      <c r="P319"/>
      <c r="R319"/>
      <c r="S319"/>
      <c r="V319"/>
      <c r="AC319" s="2"/>
      <c r="AG319" s="787"/>
      <c r="AH319" s="788"/>
      <c r="AK319" s="777"/>
      <c r="AN319" s="2"/>
      <c r="AO319"/>
    </row>
    <row r="320" spans="4:41" ht="12.75" customHeight="1">
      <c r="D320"/>
      <c r="H320" s="1"/>
      <c r="I320"/>
      <c r="P320"/>
      <c r="R320"/>
      <c r="S320"/>
      <c r="V320"/>
      <c r="AC320" s="2"/>
      <c r="AG320" s="787"/>
      <c r="AH320" s="788"/>
      <c r="AK320" s="777"/>
      <c r="AN320" s="2"/>
      <c r="AO320"/>
    </row>
    <row r="321" spans="4:41" ht="12.75" customHeight="1">
      <c r="D321"/>
      <c r="H321" s="1"/>
      <c r="I321"/>
      <c r="P321"/>
      <c r="R321"/>
      <c r="S321"/>
      <c r="V321"/>
      <c r="AC321" s="2"/>
      <c r="AG321" s="787"/>
      <c r="AH321" s="788"/>
      <c r="AK321" s="777"/>
      <c r="AN321" s="2"/>
      <c r="AO321"/>
    </row>
    <row r="322" spans="4:41" ht="12.75" customHeight="1">
      <c r="D322"/>
      <c r="H322" s="1"/>
      <c r="I322"/>
      <c r="P322"/>
      <c r="R322"/>
      <c r="S322"/>
      <c r="V322"/>
      <c r="AC322" s="2"/>
      <c r="AG322" s="787"/>
      <c r="AH322" s="788"/>
      <c r="AK322" s="777"/>
      <c r="AN322" s="2"/>
      <c r="AO322"/>
    </row>
    <row r="323" spans="8:41" ht="12.75" customHeight="1">
      <c r="H323" s="1"/>
      <c r="I323"/>
      <c r="O323" s="1"/>
      <c r="P323"/>
      <c r="Q323" s="1"/>
      <c r="S323"/>
      <c r="U323" s="2"/>
      <c r="V323"/>
      <c r="AC323" s="2"/>
      <c r="AG323" s="787"/>
      <c r="AH323" s="788"/>
      <c r="AK323" s="777"/>
      <c r="AN323" s="2"/>
      <c r="AO323"/>
    </row>
    <row r="324" spans="8:41" ht="12.75" customHeight="1">
      <c r="H324" s="1"/>
      <c r="I324"/>
      <c r="O324" s="1"/>
      <c r="P324"/>
      <c r="Q324" s="1"/>
      <c r="S324"/>
      <c r="U324" s="2"/>
      <c r="V324"/>
      <c r="AC324" s="2"/>
      <c r="AG324" s="787"/>
      <c r="AH324" s="788"/>
      <c r="AK324" s="777"/>
      <c r="AN324" s="2"/>
      <c r="AO324"/>
    </row>
    <row r="325" spans="8:41" ht="12.75" customHeight="1">
      <c r="H325" s="1"/>
      <c r="I325"/>
      <c r="O325" s="1"/>
      <c r="P325"/>
      <c r="Q325" s="1"/>
      <c r="S325"/>
      <c r="U325" s="2"/>
      <c r="V325"/>
      <c r="AC325" s="2"/>
      <c r="AG325" s="787"/>
      <c r="AH325" s="788"/>
      <c r="AK325" s="777"/>
      <c r="AN325" s="2"/>
      <c r="AO325"/>
    </row>
    <row r="326" spans="1:41" ht="12.75" customHeight="1">
      <c r="A326" t="s">
        <v>665</v>
      </c>
      <c r="D326"/>
      <c r="I326"/>
      <c r="O326" s="1"/>
      <c r="P326"/>
      <c r="Q326" s="1"/>
      <c r="S326"/>
      <c r="U326" s="2"/>
      <c r="V326"/>
      <c r="AC326" s="2"/>
      <c r="AG326" s="787"/>
      <c r="AH326" s="788"/>
      <c r="AK326" s="777"/>
      <c r="AN326" s="2"/>
      <c r="AO326"/>
    </row>
    <row r="327" spans="1:41" ht="12.75" customHeight="1">
      <c r="A327" s="5" t="s">
        <v>664</v>
      </c>
      <c r="B327" s="5"/>
      <c r="C327" s="33">
        <v>0.5</v>
      </c>
      <c r="D327" s="33">
        <v>0.55</v>
      </c>
      <c r="E327" s="33">
        <v>0.6</v>
      </c>
      <c r="F327" s="33">
        <v>0.65</v>
      </c>
      <c r="G327" s="33">
        <v>0.7</v>
      </c>
      <c r="H327" s="33">
        <v>0.75</v>
      </c>
      <c r="I327" s="33">
        <v>0.8</v>
      </c>
      <c r="O327" s="1"/>
      <c r="P327"/>
      <c r="Q327" s="1"/>
      <c r="S327"/>
      <c r="U327" s="2"/>
      <c r="V327"/>
      <c r="AC327" s="2"/>
      <c r="AG327" s="787"/>
      <c r="AH327" s="788"/>
      <c r="AK327" s="777"/>
      <c r="AN327" s="2"/>
      <c r="AO327"/>
    </row>
    <row r="328" spans="1:41" ht="12.75" customHeight="1">
      <c r="A328" s="4">
        <v>-5</v>
      </c>
      <c r="B328" s="4"/>
      <c r="C328" s="4">
        <v>-12.9</v>
      </c>
      <c r="D328" s="4">
        <v>-11.84</v>
      </c>
      <c r="E328" s="4">
        <v>-10.83</v>
      </c>
      <c r="F328" s="4">
        <v>-9.96</v>
      </c>
      <c r="G328" s="4">
        <v>-9.11</v>
      </c>
      <c r="H328" s="4">
        <v>-8.31</v>
      </c>
      <c r="I328" s="4">
        <v>-7.62</v>
      </c>
      <c r="O328" s="1"/>
      <c r="P328"/>
      <c r="Q328" s="1"/>
      <c r="S328"/>
      <c r="U328" s="2"/>
      <c r="V328"/>
      <c r="AC328" s="2"/>
      <c r="AG328" s="787"/>
      <c r="AH328" s="788"/>
      <c r="AK328" s="777"/>
      <c r="AN328" s="2"/>
      <c r="AO328"/>
    </row>
    <row r="329" spans="1:41" ht="12.75" customHeight="1">
      <c r="A329" s="4">
        <v>-4</v>
      </c>
      <c r="B329" s="4"/>
      <c r="C329" s="4">
        <v>-14.4</v>
      </c>
      <c r="D329" s="4">
        <v>-13.1</v>
      </c>
      <c r="E329" s="4">
        <v>-11.93</v>
      </c>
      <c r="F329" s="4">
        <v>-10.84</v>
      </c>
      <c r="G329" s="4">
        <v>-8.11</v>
      </c>
      <c r="H329" s="4">
        <v>-7.34</v>
      </c>
      <c r="I329" s="4">
        <v>-6.6</v>
      </c>
      <c r="O329" s="1"/>
      <c r="P329"/>
      <c r="Q329" s="1"/>
      <c r="S329"/>
      <c r="U329" s="2"/>
      <c r="V329"/>
      <c r="AC329" s="2"/>
      <c r="AG329" s="787"/>
      <c r="AH329" s="788"/>
      <c r="AK329" s="777"/>
      <c r="AN329" s="2"/>
      <c r="AO329"/>
    </row>
    <row r="330" spans="1:41" ht="12.75" customHeight="1">
      <c r="A330" s="4">
        <v>-3</v>
      </c>
      <c r="B330" s="4"/>
      <c r="C330" s="4">
        <v>-10.9</v>
      </c>
      <c r="D330" s="4">
        <v>-9.91</v>
      </c>
      <c r="E330" s="4">
        <v>-8.95</v>
      </c>
      <c r="F330" s="4">
        <v>-7.99</v>
      </c>
      <c r="G330" s="4">
        <v>-7.16</v>
      </c>
      <c r="H330" s="4">
        <v>-6.4</v>
      </c>
      <c r="I330" s="4">
        <v>-5.6</v>
      </c>
      <c r="O330" s="1"/>
      <c r="P330"/>
      <c r="Q330" s="1"/>
      <c r="S330"/>
      <c r="U330" s="2"/>
      <c r="V330"/>
      <c r="AC330" s="2"/>
      <c r="AG330" s="787"/>
      <c r="AH330" s="788"/>
      <c r="AK330" s="777"/>
      <c r="AN330" s="2"/>
      <c r="AO330"/>
    </row>
    <row r="331" spans="1:41" ht="12.75" customHeight="1">
      <c r="A331" s="4">
        <v>-2</v>
      </c>
      <c r="B331" s="4"/>
      <c r="C331" s="4">
        <v>-10</v>
      </c>
      <c r="D331" s="4">
        <v>-9</v>
      </c>
      <c r="E331" s="4">
        <v>-7.95</v>
      </c>
      <c r="F331" s="4">
        <v>-7.04</v>
      </c>
      <c r="G331" s="4">
        <v>-6.21</v>
      </c>
      <c r="H331" s="4">
        <v>-5.4</v>
      </c>
      <c r="I331" s="4">
        <v>-4.6</v>
      </c>
      <c r="O331" s="1"/>
      <c r="P331"/>
      <c r="Q331" s="1"/>
      <c r="S331"/>
      <c r="U331" s="2"/>
      <c r="V331"/>
      <c r="AC331" s="2"/>
      <c r="AG331" s="787"/>
      <c r="AH331" s="788"/>
      <c r="AK331" s="777"/>
      <c r="AN331" s="2"/>
      <c r="AO331"/>
    </row>
    <row r="332" spans="1:41" ht="12.75" customHeight="1">
      <c r="A332" s="4">
        <v>-1</v>
      </c>
      <c r="B332" s="4"/>
      <c r="C332" s="4">
        <v>-9.1</v>
      </c>
      <c r="D332" s="4">
        <v>-7.98</v>
      </c>
      <c r="E332" s="4">
        <v>-7</v>
      </c>
      <c r="F332" s="4">
        <v>-6.09</v>
      </c>
      <c r="G332" s="4">
        <v>-5.21</v>
      </c>
      <c r="H332" s="4">
        <v>-4.4</v>
      </c>
      <c r="I332" s="4">
        <v>-3.66</v>
      </c>
      <c r="O332" s="1"/>
      <c r="P332"/>
      <c r="Q332" s="1"/>
      <c r="S332"/>
      <c r="U332" s="2"/>
      <c r="V332"/>
      <c r="AC332" s="2"/>
      <c r="AG332" s="787"/>
      <c r="AH332" s="788"/>
      <c r="AK332" s="777"/>
      <c r="AN332" s="2"/>
      <c r="AO332"/>
    </row>
    <row r="333" spans="1:41" ht="12.75" customHeight="1">
      <c r="A333" s="4">
        <v>0</v>
      </c>
      <c r="B333" s="4"/>
      <c r="C333" s="4">
        <v>-8.16</v>
      </c>
      <c r="D333" s="4">
        <v>-7.05</v>
      </c>
      <c r="E333" s="4">
        <v>-6.06</v>
      </c>
      <c r="F333" s="4">
        <v>-5.14</v>
      </c>
      <c r="G333" s="4">
        <v>-4.26</v>
      </c>
      <c r="H333" s="4">
        <v>-3.46</v>
      </c>
      <c r="I333" s="4">
        <v>-2.7</v>
      </c>
      <c r="O333" s="1"/>
      <c r="P333"/>
      <c r="Q333" s="1"/>
      <c r="S333"/>
      <c r="U333" s="2"/>
      <c r="V333"/>
      <c r="AC333" s="2"/>
      <c r="AG333" s="787"/>
      <c r="AH333" s="788"/>
      <c r="AK333" s="777"/>
      <c r="AN333" s="2"/>
      <c r="AO333"/>
    </row>
    <row r="334" spans="1:41" ht="12.75" customHeight="1">
      <c r="A334" s="4">
        <v>1</v>
      </c>
      <c r="B334" s="4"/>
      <c r="C334" s="4">
        <v>-7.32</v>
      </c>
      <c r="D334" s="4">
        <v>-6.22</v>
      </c>
      <c r="E334" s="4">
        <v>-5.21</v>
      </c>
      <c r="F334" s="4">
        <v>-4.26</v>
      </c>
      <c r="G334" s="4">
        <v>-3.4</v>
      </c>
      <c r="H334" s="4">
        <v>-2.58</v>
      </c>
      <c r="I334" s="4">
        <v>-1.82</v>
      </c>
      <c r="O334" s="1"/>
      <c r="P334"/>
      <c r="Q334" s="1"/>
      <c r="S334"/>
      <c r="U334" s="2"/>
      <c r="V334"/>
      <c r="AC334" s="2"/>
      <c r="AG334" s="787"/>
      <c r="AH334" s="788"/>
      <c r="AK334" s="777"/>
      <c r="AN334" s="2"/>
      <c r="AO334"/>
    </row>
    <row r="335" spans="1:41" ht="12.75" customHeight="1">
      <c r="A335" s="4">
        <v>2</v>
      </c>
      <c r="B335" s="4"/>
      <c r="C335" s="4">
        <v>-6.65</v>
      </c>
      <c r="D335" s="4">
        <v>-5.39</v>
      </c>
      <c r="E335" s="4">
        <v>-4.38</v>
      </c>
      <c r="F335" s="4">
        <v>-3.44</v>
      </c>
      <c r="G335" s="4">
        <v>-2.56</v>
      </c>
      <c r="H335" s="4">
        <v>-1.74</v>
      </c>
      <c r="I335" s="4">
        <v>-0.97</v>
      </c>
      <c r="O335" s="1"/>
      <c r="P335"/>
      <c r="Q335" s="1"/>
      <c r="S335"/>
      <c r="U335" s="2"/>
      <c r="V335"/>
      <c r="AC335" s="2"/>
      <c r="AG335" s="787"/>
      <c r="AH335" s="788"/>
      <c r="AK335" s="777"/>
      <c r="AN335" s="2"/>
      <c r="AO335"/>
    </row>
    <row r="336" spans="1:41" ht="12.75" customHeight="1">
      <c r="A336" s="4">
        <v>3</v>
      </c>
      <c r="B336" s="4"/>
      <c r="C336" s="4">
        <v>-5.56</v>
      </c>
      <c r="D336" s="4">
        <v>-4.53</v>
      </c>
      <c r="E336" s="4">
        <v>-3.52</v>
      </c>
      <c r="F336" s="4">
        <v>-2.57</v>
      </c>
      <c r="G336" s="4">
        <v>-1.69</v>
      </c>
      <c r="H336" s="4">
        <v>-0.88</v>
      </c>
      <c r="I336" s="4">
        <v>-0.08</v>
      </c>
      <c r="O336" s="1"/>
      <c r="P336"/>
      <c r="Q336" s="1"/>
      <c r="S336"/>
      <c r="U336" s="2"/>
      <c r="V336"/>
      <c r="AC336" s="2"/>
      <c r="AG336" s="787"/>
      <c r="AH336" s="788"/>
      <c r="AK336" s="777"/>
      <c r="AN336" s="2"/>
      <c r="AO336"/>
    </row>
    <row r="337" spans="1:41" ht="12.75" customHeight="1">
      <c r="A337" s="4">
        <v>4</v>
      </c>
      <c r="B337" s="4"/>
      <c r="C337" s="4">
        <v>-4.84</v>
      </c>
      <c r="D337" s="4">
        <v>-3.74</v>
      </c>
      <c r="E337" s="4">
        <v>-2.7</v>
      </c>
      <c r="F337" s="4">
        <v>-1.75</v>
      </c>
      <c r="G337" s="4">
        <v>-0.87</v>
      </c>
      <c r="H337" s="4">
        <v>-0.01</v>
      </c>
      <c r="I337" s="4">
        <v>0.87</v>
      </c>
      <c r="O337" s="1"/>
      <c r="P337"/>
      <c r="Q337" s="1"/>
      <c r="S337"/>
      <c r="U337" s="2"/>
      <c r="V337"/>
      <c r="AC337" s="2"/>
      <c r="AG337" s="787"/>
      <c r="AH337" s="788"/>
      <c r="AK337" s="777"/>
      <c r="AN337" s="2"/>
      <c r="AO337"/>
    </row>
    <row r="338" spans="1:41" ht="12.75" customHeight="1">
      <c r="A338" s="4">
        <v>5</v>
      </c>
      <c r="B338" s="4"/>
      <c r="C338" s="4">
        <v>-4.03</v>
      </c>
      <c r="D338" s="4">
        <v>-2.91</v>
      </c>
      <c r="E338" s="4">
        <v>-1.87</v>
      </c>
      <c r="F338" s="4">
        <v>-0.9</v>
      </c>
      <c r="G338" s="4">
        <v>-0.01</v>
      </c>
      <c r="H338" s="4">
        <v>0.94</v>
      </c>
      <c r="I338" s="4">
        <v>1.83</v>
      </c>
      <c r="O338" s="1"/>
      <c r="P338"/>
      <c r="Q338" s="1"/>
      <c r="S338"/>
      <c r="U338" s="2"/>
      <c r="V338"/>
      <c r="AC338" s="2"/>
      <c r="AG338" s="787"/>
      <c r="AH338" s="788"/>
      <c r="AK338" s="777"/>
      <c r="AN338" s="2"/>
      <c r="AO338"/>
    </row>
    <row r="339" spans="1:41" ht="12.75" customHeight="1">
      <c r="A339" s="4">
        <v>6</v>
      </c>
      <c r="B339" s="4"/>
      <c r="C339" s="4">
        <v>-3.22</v>
      </c>
      <c r="D339" s="4">
        <v>-2.08</v>
      </c>
      <c r="E339" s="4">
        <v>-1.04</v>
      </c>
      <c r="F339" s="4">
        <v>-0.08</v>
      </c>
      <c r="G339" s="4">
        <v>0.94</v>
      </c>
      <c r="H339" s="4">
        <v>1.89</v>
      </c>
      <c r="I339" s="4">
        <v>2.8</v>
      </c>
      <c r="O339" s="1"/>
      <c r="P339"/>
      <c r="Q339" s="1"/>
      <c r="S339"/>
      <c r="U339" s="2"/>
      <c r="V339"/>
      <c r="AC339" s="2"/>
      <c r="AG339" s="787"/>
      <c r="AH339" s="788"/>
      <c r="AK339" s="777"/>
      <c r="AN339" s="2"/>
      <c r="AO339"/>
    </row>
    <row r="340" spans="1:41" ht="12.75" customHeight="1">
      <c r="A340" s="4">
        <v>7</v>
      </c>
      <c r="B340" s="4"/>
      <c r="C340" s="4">
        <v>-2.32</v>
      </c>
      <c r="D340" s="4">
        <v>-1.25</v>
      </c>
      <c r="E340" s="4">
        <v>-0.21</v>
      </c>
      <c r="F340" s="4">
        <v>0.87</v>
      </c>
      <c r="G340" s="4">
        <v>1.9</v>
      </c>
      <c r="H340" s="4">
        <v>2.85</v>
      </c>
      <c r="I340" s="4">
        <v>3.77</v>
      </c>
      <c r="O340" s="1"/>
      <c r="P340"/>
      <c r="Q340" s="1"/>
      <c r="S340"/>
      <c r="U340" s="2"/>
      <c r="V340"/>
      <c r="AC340" s="2"/>
      <c r="AG340" s="787"/>
      <c r="AH340" s="788"/>
      <c r="AK340" s="777"/>
      <c r="AN340" s="2"/>
      <c r="AO340"/>
    </row>
    <row r="341" spans="1:41" ht="12.75" customHeight="1">
      <c r="A341" s="4">
        <v>8</v>
      </c>
      <c r="B341" s="4"/>
      <c r="C341" s="4">
        <v>-1.56</v>
      </c>
      <c r="D341" s="4">
        <v>-0.42</v>
      </c>
      <c r="E341" s="4">
        <v>-0.72</v>
      </c>
      <c r="F341" s="4">
        <v>1.82</v>
      </c>
      <c r="G341" s="4">
        <v>2.86</v>
      </c>
      <c r="H341" s="4">
        <v>3.85</v>
      </c>
      <c r="I341" s="4">
        <v>4.77</v>
      </c>
      <c r="O341" s="1"/>
      <c r="P341"/>
      <c r="Q341" s="1"/>
      <c r="S341"/>
      <c r="U341" s="2"/>
      <c r="V341"/>
      <c r="AC341" s="2"/>
      <c r="AG341" s="787"/>
      <c r="AH341" s="788"/>
      <c r="AK341" s="777"/>
      <c r="AN341" s="2"/>
      <c r="AO341"/>
    </row>
    <row r="342" spans="1:41" ht="12.75" customHeight="1">
      <c r="A342" s="4">
        <v>9</v>
      </c>
      <c r="B342" s="4"/>
      <c r="C342" s="4">
        <v>-0.78</v>
      </c>
      <c r="D342" s="4">
        <v>0.46</v>
      </c>
      <c r="E342" s="4">
        <v>1.66</v>
      </c>
      <c r="F342" s="4">
        <v>2.77</v>
      </c>
      <c r="G342" s="4">
        <v>3.82</v>
      </c>
      <c r="H342" s="4">
        <v>4.81</v>
      </c>
      <c r="I342" s="4">
        <v>5.74</v>
      </c>
      <c r="O342" s="1"/>
      <c r="P342"/>
      <c r="Q342" s="1"/>
      <c r="S342"/>
      <c r="U342" s="2"/>
      <c r="V342"/>
      <c r="AC342" s="2"/>
      <c r="AG342" s="787"/>
      <c r="AH342" s="788"/>
      <c r="AK342" s="777"/>
      <c r="AN342" s="2"/>
      <c r="AO342"/>
    </row>
    <row r="343" spans="1:41" ht="12.75" customHeight="1">
      <c r="A343" s="4">
        <v>10</v>
      </c>
      <c r="B343" s="4"/>
      <c r="C343" s="4">
        <v>0.08</v>
      </c>
      <c r="D343" s="4">
        <v>1.39</v>
      </c>
      <c r="E343" s="4">
        <v>2.6</v>
      </c>
      <c r="F343" s="4">
        <v>3.72</v>
      </c>
      <c r="G343" s="4">
        <v>4.76</v>
      </c>
      <c r="H343" s="4">
        <v>5.77</v>
      </c>
      <c r="I343" s="4">
        <v>6.71</v>
      </c>
      <c r="O343" s="1"/>
      <c r="P343"/>
      <c r="Q343" s="1"/>
      <c r="S343"/>
      <c r="U343" s="2"/>
      <c r="V343"/>
      <c r="AC343" s="2"/>
      <c r="AG343" s="787"/>
      <c r="AH343" s="788"/>
      <c r="AK343" s="777"/>
      <c r="AN343" s="2"/>
      <c r="AO343"/>
    </row>
    <row r="344" spans="1:41" ht="12.75" customHeight="1">
      <c r="A344" s="4">
        <v>11</v>
      </c>
      <c r="B344" s="4"/>
      <c r="C344" s="4">
        <v>0.98</v>
      </c>
      <c r="D344" s="4">
        <v>1.32</v>
      </c>
      <c r="E344" s="4">
        <v>3.54</v>
      </c>
      <c r="F344" s="4">
        <v>4.68</v>
      </c>
      <c r="G344" s="4">
        <v>5.74</v>
      </c>
      <c r="H344" s="4">
        <v>6.74</v>
      </c>
      <c r="I344" s="4">
        <v>7.68</v>
      </c>
      <c r="O344" s="1"/>
      <c r="P344"/>
      <c r="Q344" s="1"/>
      <c r="S344"/>
      <c r="U344" s="2"/>
      <c r="V344"/>
      <c r="AC344" s="2"/>
      <c r="AG344" s="787"/>
      <c r="AH344" s="788"/>
      <c r="AK344" s="777"/>
      <c r="AN344" s="2"/>
      <c r="AO344"/>
    </row>
    <row r="345" spans="1:41" ht="12.75" customHeight="1">
      <c r="A345" s="4">
        <v>12</v>
      </c>
      <c r="B345" s="4"/>
      <c r="C345" s="4">
        <v>1.9</v>
      </c>
      <c r="D345" s="4">
        <v>3.25</v>
      </c>
      <c r="E345" s="4">
        <v>4.48</v>
      </c>
      <c r="F345" s="4">
        <v>5.63</v>
      </c>
      <c r="G345" s="4">
        <v>6.7</v>
      </c>
      <c r="H345" s="4">
        <v>7.71</v>
      </c>
      <c r="I345" s="4">
        <v>8.65</v>
      </c>
      <c r="O345" s="1"/>
      <c r="P345"/>
      <c r="Q345" s="1"/>
      <c r="S345"/>
      <c r="U345" s="2"/>
      <c r="V345"/>
      <c r="AC345" s="2"/>
      <c r="AG345" s="787"/>
      <c r="AH345" s="788"/>
      <c r="AK345" s="777"/>
      <c r="AN345" s="2"/>
      <c r="AO345"/>
    </row>
    <row r="346" spans="1:41" ht="12.75" customHeight="1">
      <c r="A346" s="4">
        <v>13</v>
      </c>
      <c r="B346" s="4"/>
      <c r="C346" s="4">
        <v>2.82</v>
      </c>
      <c r="D346" s="4">
        <v>4.18</v>
      </c>
      <c r="E346" s="4">
        <v>5.42</v>
      </c>
      <c r="F346" s="4">
        <v>6.58</v>
      </c>
      <c r="G346" s="4">
        <v>7.66</v>
      </c>
      <c r="H346" s="4">
        <v>8.68</v>
      </c>
      <c r="I346" s="4">
        <v>9.62</v>
      </c>
      <c r="O346" s="1"/>
      <c r="P346"/>
      <c r="Q346" s="1"/>
      <c r="S346"/>
      <c r="U346" s="2"/>
      <c r="V346"/>
      <c r="AC346" s="2"/>
      <c r="AG346" s="787"/>
      <c r="AH346" s="788"/>
      <c r="AK346" s="777"/>
      <c r="AN346" s="2"/>
      <c r="AO346"/>
    </row>
    <row r="347" spans="1:41" ht="12.75" customHeight="1">
      <c r="A347" s="4">
        <v>14</v>
      </c>
      <c r="B347" s="4"/>
      <c r="C347" s="4">
        <v>3.76</v>
      </c>
      <c r="D347" s="4">
        <v>5.11</v>
      </c>
      <c r="E347" s="4">
        <v>6.36</v>
      </c>
      <c r="F347" s="4">
        <v>7.53</v>
      </c>
      <c r="G347" s="4">
        <v>8.62</v>
      </c>
      <c r="H347" s="4">
        <v>9.64</v>
      </c>
      <c r="I347" s="4">
        <v>10.59</v>
      </c>
      <c r="O347" s="1"/>
      <c r="P347"/>
      <c r="Q347" s="1"/>
      <c r="S347"/>
      <c r="U347" s="2"/>
      <c r="V347"/>
      <c r="AC347" s="2"/>
      <c r="AG347" s="787"/>
      <c r="AH347" s="788"/>
      <c r="AK347" s="777"/>
      <c r="AN347" s="2"/>
      <c r="AO347"/>
    </row>
    <row r="348" spans="1:41" ht="12.75" customHeight="1">
      <c r="A348" s="4">
        <v>15</v>
      </c>
      <c r="B348" s="4"/>
      <c r="C348" s="4">
        <v>4.68</v>
      </c>
      <c r="D348" s="4">
        <v>6.04</v>
      </c>
      <c r="E348" s="4">
        <v>7.3</v>
      </c>
      <c r="F348" s="4">
        <v>8.48</v>
      </c>
      <c r="G348" s="4">
        <v>9.58</v>
      </c>
      <c r="H348" s="4">
        <v>10.6</v>
      </c>
      <c r="I348" s="4">
        <v>11.6</v>
      </c>
      <c r="O348" s="1"/>
      <c r="P348"/>
      <c r="Q348" s="1"/>
      <c r="S348"/>
      <c r="U348" s="2"/>
      <c r="V348"/>
      <c r="AC348" s="2"/>
      <c r="AG348" s="787"/>
      <c r="AH348" s="788"/>
      <c r="AK348" s="777"/>
      <c r="AN348" s="2"/>
      <c r="AO348"/>
    </row>
    <row r="349" spans="1:41" ht="12.75" customHeight="1">
      <c r="A349" s="4">
        <v>16</v>
      </c>
      <c r="B349" s="4"/>
      <c r="C349" s="4">
        <v>5.6</v>
      </c>
      <c r="D349" s="4">
        <v>6.94</v>
      </c>
      <c r="E349" s="4">
        <v>8.24</v>
      </c>
      <c r="F349" s="4">
        <v>9.43</v>
      </c>
      <c r="G349" s="4">
        <v>10.54</v>
      </c>
      <c r="H349" s="4">
        <v>11.57</v>
      </c>
      <c r="I349" s="4">
        <v>12.56</v>
      </c>
      <c r="O349" s="1"/>
      <c r="P349"/>
      <c r="Q349" s="1"/>
      <c r="S349"/>
      <c r="U349" s="2"/>
      <c r="V349"/>
      <c r="AC349" s="2"/>
      <c r="AG349" s="787"/>
      <c r="AH349" s="788"/>
      <c r="AK349" s="777"/>
      <c r="AN349" s="2"/>
      <c r="AO349"/>
    </row>
    <row r="350" spans="1:41" ht="12.75" customHeight="1">
      <c r="A350" s="4">
        <v>17</v>
      </c>
      <c r="B350" s="4"/>
      <c r="C350" s="4">
        <v>6.5</v>
      </c>
      <c r="D350" s="4">
        <v>7.9</v>
      </c>
      <c r="E350" s="4">
        <v>9.18</v>
      </c>
      <c r="F350" s="4">
        <v>10.37</v>
      </c>
      <c r="G350" s="4">
        <v>11.5</v>
      </c>
      <c r="H350" s="4">
        <v>12.54</v>
      </c>
      <c r="I350" s="4">
        <v>13.53</v>
      </c>
      <c r="O350" s="1"/>
      <c r="P350"/>
      <c r="Q350" s="1"/>
      <c r="S350"/>
      <c r="U350" s="2"/>
      <c r="V350"/>
      <c r="AC350" s="2"/>
      <c r="AG350" s="787"/>
      <c r="AH350" s="788"/>
      <c r="AK350" s="777"/>
      <c r="AN350" s="2"/>
      <c r="AO350"/>
    </row>
    <row r="351" spans="1:41" ht="12.75" customHeight="1">
      <c r="A351" s="4">
        <v>18</v>
      </c>
      <c r="B351" s="4"/>
      <c r="C351" s="4">
        <v>7.44</v>
      </c>
      <c r="D351" s="4">
        <v>8.33</v>
      </c>
      <c r="E351" s="4">
        <v>10.12</v>
      </c>
      <c r="F351" s="4">
        <v>11.32</v>
      </c>
      <c r="G351" s="4">
        <v>12.46</v>
      </c>
      <c r="H351" s="4">
        <v>13.51</v>
      </c>
      <c r="I351" s="4">
        <v>14.5</v>
      </c>
      <c r="O351" s="1"/>
      <c r="P351"/>
      <c r="Q351" s="1"/>
      <c r="S351"/>
      <c r="U351" s="2"/>
      <c r="V351"/>
      <c r="AC351" s="2"/>
      <c r="AG351" s="787"/>
      <c r="AH351" s="788"/>
      <c r="AK351" s="777"/>
      <c r="AN351" s="2"/>
      <c r="AO351"/>
    </row>
    <row r="352" spans="1:41" ht="12.75" customHeight="1">
      <c r="A352" s="4">
        <v>19</v>
      </c>
      <c r="B352" s="4"/>
      <c r="C352" s="4">
        <v>8.36</v>
      </c>
      <c r="D352" s="4">
        <v>9.76</v>
      </c>
      <c r="E352" s="4">
        <v>11.06</v>
      </c>
      <c r="F352" s="4">
        <v>12.27</v>
      </c>
      <c r="G352" s="4">
        <v>13.42</v>
      </c>
      <c r="H352" s="4">
        <v>14.48</v>
      </c>
      <c r="I352" s="4">
        <v>15.47</v>
      </c>
      <c r="O352" s="1"/>
      <c r="P352"/>
      <c r="Q352" s="1"/>
      <c r="S352"/>
      <c r="U352" s="2"/>
      <c r="V352"/>
      <c r="AC352" s="2"/>
      <c r="AG352" s="787"/>
      <c r="AH352" s="788"/>
      <c r="AK352" s="777"/>
      <c r="AN352" s="2"/>
      <c r="AO352"/>
    </row>
    <row r="353" spans="1:41" ht="12.75" customHeight="1">
      <c r="A353" s="4">
        <v>20</v>
      </c>
      <c r="B353" s="4"/>
      <c r="C353" s="4">
        <v>9.28</v>
      </c>
      <c r="D353" s="4">
        <v>10.69</v>
      </c>
      <c r="E353" s="4">
        <v>12</v>
      </c>
      <c r="F353" s="4">
        <v>13.22</v>
      </c>
      <c r="G353" s="4">
        <v>14.38</v>
      </c>
      <c r="H353" s="4">
        <v>15.44</v>
      </c>
      <c r="I353" s="4">
        <v>16.44</v>
      </c>
      <c r="O353" s="1"/>
      <c r="P353"/>
      <c r="Q353" s="1"/>
      <c r="S353"/>
      <c r="U353" s="2"/>
      <c r="V353"/>
      <c r="AC353" s="2"/>
      <c r="AG353" s="787"/>
      <c r="AH353" s="788"/>
      <c r="AK353" s="777"/>
      <c r="AN353" s="2"/>
      <c r="AO353"/>
    </row>
    <row r="354" spans="1:41" ht="12.75" customHeight="1">
      <c r="A354" s="4">
        <v>21</v>
      </c>
      <c r="B354" s="4"/>
      <c r="C354" s="4">
        <v>10.2</v>
      </c>
      <c r="D354" s="4">
        <v>11.62</v>
      </c>
      <c r="E354" s="4">
        <v>12.94</v>
      </c>
      <c r="F354" s="4">
        <v>14.17</v>
      </c>
      <c r="G354" s="4">
        <v>15.33</v>
      </c>
      <c r="H354" s="4">
        <v>16.4</v>
      </c>
      <c r="I354" s="4">
        <v>17.4</v>
      </c>
      <c r="O354" s="1"/>
      <c r="P354"/>
      <c r="Q354" s="1"/>
      <c r="S354"/>
      <c r="U354" s="2"/>
      <c r="V354"/>
      <c r="AC354" s="2"/>
      <c r="AG354" s="787"/>
      <c r="AH354" s="788"/>
      <c r="AK354" s="777"/>
      <c r="AN354" s="2"/>
      <c r="AO354"/>
    </row>
    <row r="355" spans="1:41" ht="12.75" customHeight="1">
      <c r="A355" s="4">
        <v>22</v>
      </c>
      <c r="B355" s="4"/>
      <c r="C355" s="4">
        <v>11.12</v>
      </c>
      <c r="D355" s="4">
        <v>12.58</v>
      </c>
      <c r="E355" s="4">
        <v>13.88</v>
      </c>
      <c r="F355" s="4">
        <v>15.12</v>
      </c>
      <c r="G355" s="4">
        <v>16.28</v>
      </c>
      <c r="H355" s="4">
        <v>17.37</v>
      </c>
      <c r="I355" s="4">
        <v>18.38</v>
      </c>
      <c r="O355" s="1"/>
      <c r="P355"/>
      <c r="Q355" s="1"/>
      <c r="S355"/>
      <c r="U355" s="2"/>
      <c r="V355"/>
      <c r="AC355" s="2"/>
      <c r="AG355" s="787"/>
      <c r="AH355" s="788"/>
      <c r="AK355" s="777"/>
      <c r="AN355" s="2"/>
      <c r="AO355"/>
    </row>
    <row r="356" spans="1:41" ht="12.75" customHeight="1">
      <c r="A356" s="4">
        <v>23</v>
      </c>
      <c r="B356" s="4"/>
      <c r="C356" s="4">
        <v>12</v>
      </c>
      <c r="D356" s="4">
        <v>13.48</v>
      </c>
      <c r="E356" s="4">
        <v>14.82</v>
      </c>
      <c r="F356" s="4">
        <v>16.07</v>
      </c>
      <c r="G356" s="4">
        <v>17.23</v>
      </c>
      <c r="H356" s="4">
        <v>18.34</v>
      </c>
      <c r="I356" s="4">
        <v>19.38</v>
      </c>
      <c r="O356" s="1"/>
      <c r="P356"/>
      <c r="Q356" s="1"/>
      <c r="S356"/>
      <c r="U356" s="2"/>
      <c r="V356"/>
      <c r="AC356" s="2"/>
      <c r="AG356" s="787"/>
      <c r="AH356" s="788"/>
      <c r="AK356" s="777"/>
      <c r="AN356" s="2"/>
      <c r="AO356"/>
    </row>
    <row r="357" spans="1:41" ht="12.75" customHeight="1">
      <c r="A357" s="4">
        <v>24</v>
      </c>
      <c r="B357" s="4"/>
      <c r="C357" s="4">
        <v>12.94</v>
      </c>
      <c r="D357" s="4">
        <v>14.4</v>
      </c>
      <c r="E357" s="4">
        <v>15.76</v>
      </c>
      <c r="F357" s="4">
        <v>17</v>
      </c>
      <c r="G357" s="4">
        <v>18.2</v>
      </c>
      <c r="H357" s="4">
        <v>19.3</v>
      </c>
      <c r="I357" s="4">
        <v>20.35</v>
      </c>
      <c r="O357" s="1"/>
      <c r="P357"/>
      <c r="Q357" s="1"/>
      <c r="S357"/>
      <c r="U357" s="2"/>
      <c r="V357"/>
      <c r="AC357" s="2"/>
      <c r="AG357" s="787"/>
      <c r="AH357" s="788"/>
      <c r="AK357" s="777"/>
      <c r="AN357" s="2"/>
      <c r="AO357"/>
    </row>
    <row r="358" spans="1:41" ht="12.75" customHeight="1">
      <c r="A358" s="4">
        <v>25</v>
      </c>
      <c r="B358" s="4"/>
      <c r="C358" s="4">
        <v>13.86</v>
      </c>
      <c r="D358" s="4">
        <v>15.34</v>
      </c>
      <c r="E358" s="4">
        <v>16.7</v>
      </c>
      <c r="F358" s="4">
        <v>17.97</v>
      </c>
      <c r="G358" s="4">
        <v>19.15</v>
      </c>
      <c r="H358" s="4">
        <v>20.26</v>
      </c>
      <c r="I358" s="4">
        <v>21.32</v>
      </c>
      <c r="O358" s="1"/>
      <c r="P358"/>
      <c r="Q358" s="1"/>
      <c r="S358"/>
      <c r="U358" s="2"/>
      <c r="V358"/>
      <c r="AC358" s="2"/>
      <c r="AG358" s="787"/>
      <c r="AH358" s="788"/>
      <c r="AK358" s="777"/>
      <c r="AN358" s="2"/>
      <c r="AO358"/>
    </row>
    <row r="359" spans="1:41" ht="12.75" customHeight="1">
      <c r="A359" s="4">
        <v>26</v>
      </c>
      <c r="B359" s="4"/>
      <c r="C359" s="4">
        <v>14.8</v>
      </c>
      <c r="D359" s="4">
        <v>16.27</v>
      </c>
      <c r="E359" s="4">
        <v>17.64</v>
      </c>
      <c r="F359" s="4">
        <v>18.95</v>
      </c>
      <c r="G359" s="4">
        <v>20.11</v>
      </c>
      <c r="H359" s="4">
        <v>21.22</v>
      </c>
      <c r="I359" s="4">
        <v>22.26</v>
      </c>
      <c r="O359" s="1"/>
      <c r="P359"/>
      <c r="Q359" s="1"/>
      <c r="S359"/>
      <c r="U359" s="2"/>
      <c r="V359"/>
      <c r="AC359" s="2"/>
      <c r="AG359" s="787"/>
      <c r="AH359" s="788"/>
      <c r="AK359" s="777"/>
      <c r="AN359" s="2"/>
      <c r="AO359"/>
    </row>
    <row r="360" spans="1:41" ht="12.75" customHeight="1">
      <c r="A360" s="4">
        <v>27</v>
      </c>
      <c r="B360" s="4"/>
      <c r="C360" s="4">
        <v>15.7</v>
      </c>
      <c r="D360" s="4">
        <v>17.19</v>
      </c>
      <c r="E360" s="4">
        <v>18.57</v>
      </c>
      <c r="F360" s="4">
        <v>19.87</v>
      </c>
      <c r="G360" s="4">
        <v>21.06</v>
      </c>
      <c r="H360" s="4">
        <v>22.18</v>
      </c>
      <c r="I360" s="4">
        <v>23.26</v>
      </c>
      <c r="O360" s="1"/>
      <c r="P360"/>
      <c r="Q360" s="1"/>
      <c r="S360"/>
      <c r="U360" s="2"/>
      <c r="V360"/>
      <c r="AC360" s="2"/>
      <c r="AG360" s="787"/>
      <c r="AH360" s="788"/>
      <c r="AK360" s="777"/>
      <c r="AN360" s="2"/>
      <c r="AO360"/>
    </row>
    <row r="361" spans="1:41" ht="12.75" customHeight="1">
      <c r="A361" s="4">
        <v>28</v>
      </c>
      <c r="B361" s="4"/>
      <c r="C361" s="4">
        <v>16.6</v>
      </c>
      <c r="D361" s="4">
        <v>18.11</v>
      </c>
      <c r="E361" s="4">
        <v>19.5</v>
      </c>
      <c r="F361" s="4">
        <v>20.18</v>
      </c>
      <c r="G361" s="4">
        <v>22</v>
      </c>
      <c r="H361" s="4">
        <v>23.14</v>
      </c>
      <c r="I361" s="4">
        <v>24.23</v>
      </c>
      <c r="O361" s="1"/>
      <c r="P361"/>
      <c r="Q361" s="1"/>
      <c r="S361"/>
      <c r="U361" s="2"/>
      <c r="V361"/>
      <c r="AC361" s="2"/>
      <c r="AG361" s="787"/>
      <c r="AH361" s="788"/>
      <c r="AK361" s="777"/>
      <c r="AN361" s="2"/>
      <c r="AO361"/>
    </row>
    <row r="362" spans="1:41" ht="12.75" customHeight="1">
      <c r="A362" s="4">
        <v>29</v>
      </c>
      <c r="B362" s="4"/>
      <c r="C362" s="4">
        <v>17.5</v>
      </c>
      <c r="D362" s="4">
        <v>19</v>
      </c>
      <c r="E362" s="4">
        <v>20.44</v>
      </c>
      <c r="F362" s="4">
        <v>21.75</v>
      </c>
      <c r="G362" s="4">
        <v>23</v>
      </c>
      <c r="H362" s="4">
        <v>24.11</v>
      </c>
      <c r="I362" s="4">
        <v>25.2</v>
      </c>
      <c r="O362" s="1"/>
      <c r="P362"/>
      <c r="Q362" s="1"/>
      <c r="S362"/>
      <c r="U362" s="2"/>
      <c r="V362"/>
      <c r="AC362" s="2"/>
      <c r="AG362" s="787"/>
      <c r="AH362" s="788"/>
      <c r="AK362" s="777"/>
      <c r="AN362" s="2"/>
      <c r="AO362"/>
    </row>
    <row r="363" spans="1:41" ht="12.75" customHeight="1">
      <c r="A363" s="4">
        <v>30</v>
      </c>
      <c r="B363" s="4"/>
      <c r="C363" s="4">
        <v>18.44</v>
      </c>
      <c r="D363" s="4">
        <v>197</v>
      </c>
      <c r="E363" s="4">
        <v>21.4</v>
      </c>
      <c r="F363" s="4">
        <v>22.69</v>
      </c>
      <c r="G363" s="4">
        <v>23.92</v>
      </c>
      <c r="H363" s="4">
        <v>25.08</v>
      </c>
      <c r="I363" s="4">
        <v>26.17</v>
      </c>
      <c r="O363" s="1"/>
      <c r="P363"/>
      <c r="Q363" s="1"/>
      <c r="S363"/>
      <c r="U363" s="2"/>
      <c r="V363"/>
      <c r="AC363" s="2"/>
      <c r="AG363" s="787"/>
      <c r="AH363" s="788"/>
      <c r="AK363" s="777"/>
      <c r="AN363" s="2"/>
      <c r="AO363"/>
    </row>
    <row r="364" spans="1:41" ht="12.75" customHeight="1">
      <c r="A364" s="4">
        <v>31</v>
      </c>
      <c r="B364" s="4"/>
      <c r="C364" s="4">
        <v>19.36</v>
      </c>
      <c r="D364" s="4">
        <v>20.9</v>
      </c>
      <c r="E364" s="4">
        <v>22.3</v>
      </c>
      <c r="F364" s="4">
        <v>23.64</v>
      </c>
      <c r="G364" s="4">
        <v>24.88</v>
      </c>
      <c r="H364" s="4">
        <v>26.04</v>
      </c>
      <c r="I364" s="4">
        <v>27.14</v>
      </c>
      <c r="O364" s="1"/>
      <c r="P364"/>
      <c r="Q364" s="1"/>
      <c r="S364"/>
      <c r="U364" s="2"/>
      <c r="V364"/>
      <c r="AC364" s="2"/>
      <c r="AG364" s="787"/>
      <c r="AH364" s="788"/>
      <c r="AK364" s="777"/>
      <c r="AN364" s="2"/>
      <c r="AO364"/>
    </row>
    <row r="365" spans="1:41" ht="12.75" customHeight="1">
      <c r="A365" s="4">
        <v>32</v>
      </c>
      <c r="B365" s="4"/>
      <c r="C365" s="4">
        <v>20.27</v>
      </c>
      <c r="D365" s="4">
        <v>21.83</v>
      </c>
      <c r="E365" s="4">
        <v>23.26</v>
      </c>
      <c r="F365" s="4">
        <v>24.6</v>
      </c>
      <c r="G365" s="4">
        <v>25.83</v>
      </c>
      <c r="H365" s="4">
        <v>27</v>
      </c>
      <c r="I365" s="4">
        <v>28.11</v>
      </c>
      <c r="O365" s="1"/>
      <c r="P365"/>
      <c r="Q365" s="1"/>
      <c r="S365"/>
      <c r="U365" s="2"/>
      <c r="V365"/>
      <c r="AC365" s="2"/>
      <c r="AG365" s="787"/>
      <c r="AH365" s="788"/>
      <c r="AK365" s="777"/>
      <c r="AN365" s="2"/>
      <c r="AO365"/>
    </row>
    <row r="366" spans="1:41" ht="12.75" customHeight="1">
      <c r="A366" s="4">
        <v>33</v>
      </c>
      <c r="B366" s="4"/>
      <c r="C366" s="4">
        <v>21.18</v>
      </c>
      <c r="D366" s="4">
        <v>22.76</v>
      </c>
      <c r="E366" s="4">
        <v>24.2</v>
      </c>
      <c r="F366" s="4">
        <v>25.54</v>
      </c>
      <c r="G366" s="4">
        <v>26.78</v>
      </c>
      <c r="H366" s="4">
        <v>27.97</v>
      </c>
      <c r="I366" s="4">
        <v>29.08</v>
      </c>
      <c r="O366" s="1"/>
      <c r="P366"/>
      <c r="Q366" s="1"/>
      <c r="S366"/>
      <c r="U366" s="2"/>
      <c r="V366"/>
      <c r="AC366" s="2"/>
      <c r="AG366" s="787"/>
      <c r="AH366" s="788"/>
      <c r="AK366" s="777"/>
      <c r="AN366" s="2"/>
      <c r="AO366"/>
    </row>
    <row r="367" spans="1:41" ht="12.75" customHeight="1">
      <c r="A367" s="4">
        <v>34</v>
      </c>
      <c r="B367" s="4"/>
      <c r="C367" s="4">
        <v>22.1</v>
      </c>
      <c r="D367" s="4">
        <v>23.68</v>
      </c>
      <c r="E367" s="4">
        <v>25.14</v>
      </c>
      <c r="F367" s="4">
        <v>26.5</v>
      </c>
      <c r="G367" s="4">
        <v>27.74</v>
      </c>
      <c r="H367" s="4">
        <v>28.94</v>
      </c>
      <c r="I367" s="4">
        <v>30.05</v>
      </c>
      <c r="O367" s="1"/>
      <c r="P367"/>
      <c r="Q367" s="1"/>
      <c r="S367"/>
      <c r="U367" s="2"/>
      <c r="V367"/>
      <c r="AC367" s="2"/>
      <c r="AG367" s="787"/>
      <c r="AH367" s="788"/>
      <c r="AK367" s="777"/>
      <c r="AN367" s="2"/>
      <c r="AO367"/>
    </row>
    <row r="368" spans="1:41" ht="12.75" customHeight="1">
      <c r="A368" s="4">
        <v>35</v>
      </c>
      <c r="B368" s="4"/>
      <c r="C368" s="4">
        <v>23</v>
      </c>
      <c r="D368" s="4">
        <v>24.6</v>
      </c>
      <c r="E368" s="4">
        <v>26.08</v>
      </c>
      <c r="F368" s="4">
        <v>27.64</v>
      </c>
      <c r="G368" s="4">
        <v>28.7</v>
      </c>
      <c r="H368" s="4">
        <v>29.91</v>
      </c>
      <c r="I368" s="4">
        <v>31.02</v>
      </c>
      <c r="O368" s="1"/>
      <c r="P368"/>
      <c r="Q368" s="1"/>
      <c r="S368"/>
      <c r="U368" s="2"/>
      <c r="V368"/>
      <c r="AC368" s="2"/>
      <c r="AG368" s="787"/>
      <c r="AH368" s="788"/>
      <c r="AK368" s="777"/>
      <c r="AN368" s="2"/>
      <c r="AO368"/>
    </row>
    <row r="369" spans="1:41" ht="12.75" customHeight="1">
      <c r="A369">
        <v>36</v>
      </c>
      <c r="D369"/>
      <c r="I369"/>
      <c r="O369" s="1"/>
      <c r="P369"/>
      <c r="Q369" s="1"/>
      <c r="S369"/>
      <c r="U369" s="2"/>
      <c r="V369"/>
      <c r="AC369" s="2"/>
      <c r="AG369" s="787"/>
      <c r="AH369" s="788"/>
      <c r="AK369" s="777"/>
      <c r="AN369" s="2"/>
      <c r="AO369"/>
    </row>
    <row r="370" spans="1:41" ht="12.75" customHeight="1">
      <c r="A370">
        <v>37</v>
      </c>
      <c r="D370"/>
      <c r="I370"/>
      <c r="O370" s="1"/>
      <c r="P370"/>
      <c r="Q370" s="1"/>
      <c r="S370"/>
      <c r="U370" s="2"/>
      <c r="V370"/>
      <c r="AC370" s="2"/>
      <c r="AG370" s="787"/>
      <c r="AH370" s="788"/>
      <c r="AK370" s="777"/>
      <c r="AN370" s="2"/>
      <c r="AO370"/>
    </row>
    <row r="371" spans="1:41" ht="12.75" customHeight="1">
      <c r="A371">
        <v>38</v>
      </c>
      <c r="D371"/>
      <c r="I371"/>
      <c r="O371" s="1"/>
      <c r="P371"/>
      <c r="Q371" s="1"/>
      <c r="S371"/>
      <c r="U371" s="2"/>
      <c r="V371"/>
      <c r="AC371" s="2"/>
      <c r="AG371" s="787"/>
      <c r="AH371" s="788"/>
      <c r="AK371" s="777"/>
      <c r="AN371" s="2"/>
      <c r="AO371"/>
    </row>
    <row r="372" spans="1:41" ht="12.75" customHeight="1">
      <c r="A372">
        <v>39</v>
      </c>
      <c r="D372"/>
      <c r="I372"/>
      <c r="O372" s="1"/>
      <c r="P372"/>
      <c r="Q372" s="1"/>
      <c r="S372"/>
      <c r="U372" s="2"/>
      <c r="V372"/>
      <c r="AC372" s="2"/>
      <c r="AG372" s="787"/>
      <c r="AH372" s="788"/>
      <c r="AK372" s="777"/>
      <c r="AN372" s="2"/>
      <c r="AO372"/>
    </row>
    <row r="373" spans="1:41" ht="12.75" customHeight="1">
      <c r="A373">
        <v>40</v>
      </c>
      <c r="C373">
        <v>27.2</v>
      </c>
      <c r="D373">
        <v>28</v>
      </c>
      <c r="E373">
        <v>30.5</v>
      </c>
      <c r="F373">
        <v>31.8</v>
      </c>
      <c r="G373">
        <v>33</v>
      </c>
      <c r="I373"/>
      <c r="O373" s="1"/>
      <c r="P373"/>
      <c r="Q373" s="1"/>
      <c r="S373"/>
      <c r="U373" s="2"/>
      <c r="V373"/>
      <c r="AC373" s="2"/>
      <c r="AG373" s="787"/>
      <c r="AH373" s="788"/>
      <c r="AK373" s="777"/>
      <c r="AN373" s="2"/>
      <c r="AO373"/>
    </row>
    <row r="374" spans="1:41" ht="12.75" customHeight="1">
      <c r="A374">
        <v>41</v>
      </c>
      <c r="D374"/>
      <c r="I374"/>
      <c r="O374" s="1"/>
      <c r="P374"/>
      <c r="Q374" s="1"/>
      <c r="S374"/>
      <c r="U374" s="2"/>
      <c r="V374"/>
      <c r="AC374" s="2"/>
      <c r="AG374" s="787"/>
      <c r="AH374" s="788"/>
      <c r="AK374" s="777"/>
      <c r="AN374" s="2"/>
      <c r="AO374"/>
    </row>
    <row r="375" spans="1:41" ht="12.75" customHeight="1">
      <c r="A375">
        <v>42</v>
      </c>
      <c r="D375"/>
      <c r="I375"/>
      <c r="O375" s="1"/>
      <c r="P375"/>
      <c r="Q375" s="1"/>
      <c r="S375"/>
      <c r="U375" s="2"/>
      <c r="V375"/>
      <c r="AC375" s="2"/>
      <c r="AG375" s="787"/>
      <c r="AH375" s="788"/>
      <c r="AK375" s="777"/>
      <c r="AN375" s="2"/>
      <c r="AO375"/>
    </row>
    <row r="376" spans="1:41" ht="12.75" customHeight="1">
      <c r="A376">
        <v>43</v>
      </c>
      <c r="D376"/>
      <c r="I376"/>
      <c r="O376" s="1"/>
      <c r="P376"/>
      <c r="Q376" s="1"/>
      <c r="S376"/>
      <c r="U376" s="2"/>
      <c r="V376"/>
      <c r="AC376" s="2"/>
      <c r="AG376" s="787"/>
      <c r="AH376" s="788"/>
      <c r="AK376" s="777"/>
      <c r="AN376" s="2"/>
      <c r="AO376"/>
    </row>
    <row r="377" spans="1:41" ht="12.75" customHeight="1">
      <c r="A377">
        <v>44</v>
      </c>
      <c r="D377"/>
      <c r="I377"/>
      <c r="O377" s="1"/>
      <c r="P377"/>
      <c r="Q377" s="1"/>
      <c r="S377"/>
      <c r="U377" s="2"/>
      <c r="V377"/>
      <c r="AC377" s="2"/>
      <c r="AG377" s="787"/>
      <c r="AH377" s="788"/>
      <c r="AK377" s="777"/>
      <c r="AN377" s="2"/>
      <c r="AO377"/>
    </row>
    <row r="378" spans="1:41" ht="12.75" customHeight="1">
      <c r="A378">
        <v>45</v>
      </c>
      <c r="C378">
        <v>31.7</v>
      </c>
      <c r="D378">
        <v>34.2</v>
      </c>
      <c r="I378"/>
      <c r="O378" s="1"/>
      <c r="P378"/>
      <c r="Q378" s="1"/>
      <c r="S378"/>
      <c r="U378" s="2"/>
      <c r="V378"/>
      <c r="AC378" s="2"/>
      <c r="AG378" s="787"/>
      <c r="AH378" s="788"/>
      <c r="AK378" s="777"/>
      <c r="AN378" s="2"/>
      <c r="AO378"/>
    </row>
    <row r="379" spans="1:41" ht="12.75" customHeight="1">
      <c r="A379">
        <v>46</v>
      </c>
      <c r="D379"/>
      <c r="I379"/>
      <c r="O379" s="1"/>
      <c r="P379"/>
      <c r="Q379" s="1"/>
      <c r="S379"/>
      <c r="U379" s="2"/>
      <c r="V379"/>
      <c r="AC379" s="2"/>
      <c r="AG379" s="787"/>
      <c r="AH379" s="788"/>
      <c r="AK379" s="777"/>
      <c r="AN379" s="2"/>
      <c r="AO379"/>
    </row>
    <row r="380" spans="1:41" ht="12.75" customHeight="1">
      <c r="A380">
        <v>47</v>
      </c>
      <c r="D380"/>
      <c r="I380"/>
      <c r="O380" s="1"/>
      <c r="P380"/>
      <c r="Q380" s="1"/>
      <c r="S380"/>
      <c r="U380" s="2"/>
      <c r="V380"/>
      <c r="AC380" s="2"/>
      <c r="AG380" s="787"/>
      <c r="AH380" s="788"/>
      <c r="AK380" s="777"/>
      <c r="AN380" s="2"/>
      <c r="AO380"/>
    </row>
    <row r="381" spans="1:41" ht="12.75" customHeight="1">
      <c r="A381">
        <v>48</v>
      </c>
      <c r="D381"/>
      <c r="I381"/>
      <c r="O381" s="1"/>
      <c r="P381"/>
      <c r="Q381" s="1"/>
      <c r="S381"/>
      <c r="U381" s="2"/>
      <c r="V381"/>
      <c r="AC381" s="2"/>
      <c r="AG381" s="787"/>
      <c r="AH381" s="788"/>
      <c r="AK381" s="777"/>
      <c r="AN381" s="2"/>
      <c r="AO381"/>
    </row>
    <row r="382" spans="1:41" ht="12.75" customHeight="1">
      <c r="A382">
        <v>49</v>
      </c>
      <c r="D382"/>
      <c r="I382"/>
      <c r="O382" s="1"/>
      <c r="P382"/>
      <c r="Q382" s="1"/>
      <c r="S382"/>
      <c r="U382" s="2"/>
      <c r="V382"/>
      <c r="AC382" s="2"/>
      <c r="AG382" s="787"/>
      <c r="AH382" s="788"/>
      <c r="AK382" s="777"/>
      <c r="AN382" s="2"/>
      <c r="AO382"/>
    </row>
    <row r="383" spans="1:41" ht="12.75" customHeight="1">
      <c r="A383">
        <v>50</v>
      </c>
      <c r="D383"/>
      <c r="I383"/>
      <c r="O383" s="1"/>
      <c r="P383"/>
      <c r="Q383" s="1"/>
      <c r="S383"/>
      <c r="U383" s="2"/>
      <c r="V383"/>
      <c r="AC383" s="2"/>
      <c r="AG383" s="787"/>
      <c r="AH383" s="788"/>
      <c r="AK383" s="777"/>
      <c r="AN383" s="2"/>
      <c r="AO383"/>
    </row>
    <row r="384" spans="1:41" ht="12.75" customHeight="1">
      <c r="A384">
        <v>51</v>
      </c>
      <c r="D384"/>
      <c r="I384"/>
      <c r="O384" s="1"/>
      <c r="P384"/>
      <c r="Q384" s="1"/>
      <c r="S384"/>
      <c r="U384" s="2"/>
      <c r="V384"/>
      <c r="AC384" s="2"/>
      <c r="AG384" s="787"/>
      <c r="AH384" s="788"/>
      <c r="AK384" s="777"/>
      <c r="AN384" s="2"/>
      <c r="AO384"/>
    </row>
    <row r="385" spans="1:41" ht="12.75" customHeight="1">
      <c r="A385">
        <v>52</v>
      </c>
      <c r="D385"/>
      <c r="I385"/>
      <c r="O385" s="1"/>
      <c r="P385"/>
      <c r="Q385" s="1"/>
      <c r="S385"/>
      <c r="U385" s="2"/>
      <c r="V385"/>
      <c r="AC385" s="2"/>
      <c r="AG385" s="787"/>
      <c r="AH385" s="788"/>
      <c r="AK385" s="777"/>
      <c r="AN385" s="2"/>
      <c r="AO385"/>
    </row>
    <row r="386" spans="1:41" ht="12.75" customHeight="1">
      <c r="A386">
        <v>53</v>
      </c>
      <c r="D386"/>
      <c r="I386"/>
      <c r="O386" s="1"/>
      <c r="P386"/>
      <c r="Q386" s="1"/>
      <c r="S386"/>
      <c r="U386" s="2"/>
      <c r="V386"/>
      <c r="AC386" s="2"/>
      <c r="AG386" s="787"/>
      <c r="AH386" s="788"/>
      <c r="AK386" s="777"/>
      <c r="AN386" s="2"/>
      <c r="AO386"/>
    </row>
    <row r="387" spans="1:41" ht="12.75" customHeight="1">
      <c r="A387">
        <v>54</v>
      </c>
      <c r="D387"/>
      <c r="I387"/>
      <c r="O387" s="1"/>
      <c r="P387"/>
      <c r="Q387" s="1"/>
      <c r="S387"/>
      <c r="U387" s="2"/>
      <c r="V387"/>
      <c r="AC387" s="2"/>
      <c r="AG387" s="787"/>
      <c r="AH387" s="788"/>
      <c r="AK387" s="777"/>
      <c r="AN387" s="2"/>
      <c r="AO387"/>
    </row>
    <row r="388" spans="1:41" ht="12.75" customHeight="1">
      <c r="A388">
        <v>55</v>
      </c>
      <c r="D388"/>
      <c r="I388"/>
      <c r="O388" s="1"/>
      <c r="P388"/>
      <c r="Q388" s="1"/>
      <c r="S388"/>
      <c r="U388" s="2"/>
      <c r="V388"/>
      <c r="AC388" s="2"/>
      <c r="AG388" s="787"/>
      <c r="AH388" s="788"/>
      <c r="AK388" s="777"/>
      <c r="AN388" s="2"/>
      <c r="AO388"/>
    </row>
    <row r="389" spans="8:41" ht="12.75" customHeight="1">
      <c r="H389" s="1"/>
      <c r="I389"/>
      <c r="O389" s="1"/>
      <c r="P389"/>
      <c r="Q389" s="1"/>
      <c r="S389"/>
      <c r="U389" s="2"/>
      <c r="V389"/>
      <c r="AC389" s="2"/>
      <c r="AG389" s="787"/>
      <c r="AH389" s="788"/>
      <c r="AK389" s="777"/>
      <c r="AN389" s="2"/>
      <c r="AO389"/>
    </row>
    <row r="390" spans="8:41" ht="12.75" customHeight="1">
      <c r="H390" s="1"/>
      <c r="I390"/>
      <c r="O390" s="1"/>
      <c r="P390"/>
      <c r="Q390" s="1"/>
      <c r="S390"/>
      <c r="U390" s="2"/>
      <c r="V390"/>
      <c r="AC390" s="2"/>
      <c r="AG390" s="787"/>
      <c r="AH390" s="788"/>
      <c r="AK390" s="777"/>
      <c r="AN390" s="2"/>
      <c r="AO390"/>
    </row>
    <row r="391" spans="8:41" ht="12.75" customHeight="1">
      <c r="H391" s="1"/>
      <c r="I391"/>
      <c r="O391" s="1"/>
      <c r="P391"/>
      <c r="Q391" s="1"/>
      <c r="S391"/>
      <c r="U391" s="2"/>
      <c r="V391"/>
      <c r="AC391" s="2"/>
      <c r="AG391" s="787"/>
      <c r="AH391" s="788"/>
      <c r="AK391" s="777"/>
      <c r="AN391" s="2"/>
      <c r="AO391"/>
    </row>
    <row r="392" spans="8:41" ht="12.75" customHeight="1">
      <c r="H392" s="1"/>
      <c r="I392"/>
      <c r="O392" s="1"/>
      <c r="P392"/>
      <c r="Q392" s="1"/>
      <c r="S392"/>
      <c r="U392" s="2"/>
      <c r="V392"/>
      <c r="AC392" s="2"/>
      <c r="AG392" s="787"/>
      <c r="AH392" s="788"/>
      <c r="AK392" s="777"/>
      <c r="AN392" s="2"/>
      <c r="AO392"/>
    </row>
    <row r="393" spans="8:41" ht="12.75" customHeight="1">
      <c r="H393" s="1"/>
      <c r="I393"/>
      <c r="O393" s="1"/>
      <c r="P393"/>
      <c r="Q393" s="1"/>
      <c r="S393"/>
      <c r="U393" s="2"/>
      <c r="V393"/>
      <c r="AC393" s="2"/>
      <c r="AG393" s="787"/>
      <c r="AH393" s="788"/>
      <c r="AK393" s="777"/>
      <c r="AN393" s="2"/>
      <c r="AO393"/>
    </row>
    <row r="394" spans="8:41" ht="12.75" customHeight="1">
      <c r="H394" s="1"/>
      <c r="I394"/>
      <c r="O394" s="1"/>
      <c r="P394"/>
      <c r="Q394" s="1"/>
      <c r="S394"/>
      <c r="U394" s="2"/>
      <c r="V394"/>
      <c r="AC394" s="2"/>
      <c r="AG394" s="787"/>
      <c r="AH394" s="788"/>
      <c r="AK394" s="777"/>
      <c r="AN394" s="2"/>
      <c r="AO394"/>
    </row>
    <row r="395" spans="8:41" ht="12.75" customHeight="1">
      <c r="H395" s="1"/>
      <c r="I395"/>
      <c r="O395" s="1"/>
      <c r="P395"/>
      <c r="Q395" s="1"/>
      <c r="S395"/>
      <c r="U395" s="2"/>
      <c r="V395"/>
      <c r="AC395" s="2"/>
      <c r="AG395" s="787"/>
      <c r="AH395" s="788"/>
      <c r="AK395" s="777"/>
      <c r="AN395" s="2"/>
      <c r="AO395"/>
    </row>
    <row r="396" spans="8:41" ht="12.75" customHeight="1">
      <c r="H396" s="1"/>
      <c r="I396"/>
      <c r="O396" s="1"/>
      <c r="P396"/>
      <c r="Q396" s="1"/>
      <c r="S396"/>
      <c r="U396" s="2"/>
      <c r="V396"/>
      <c r="AC396" s="2"/>
      <c r="AG396" s="787"/>
      <c r="AH396" s="788"/>
      <c r="AK396" s="777"/>
      <c r="AN396" s="2"/>
      <c r="AO396"/>
    </row>
    <row r="397" spans="3:13" ht="12.75" customHeight="1">
      <c r="C397" s="1293" t="s">
        <v>679</v>
      </c>
      <c r="D397" s="1293"/>
      <c r="E397" s="1293"/>
      <c r="F397" s="1293"/>
      <c r="G397" s="1293"/>
      <c r="H397" s="1293"/>
      <c r="I397" s="1293"/>
      <c r="J397" s="1293"/>
      <c r="K397" s="1293"/>
      <c r="L397" s="1293"/>
      <c r="M397" s="1293"/>
    </row>
    <row r="398" spans="3:17" ht="12.75" customHeight="1">
      <c r="C398" s="1293"/>
      <c r="D398" s="1293"/>
      <c r="E398" s="1293"/>
      <c r="F398" s="1293"/>
      <c r="G398" s="1293"/>
      <c r="H398" s="1293"/>
      <c r="I398" s="1293"/>
      <c r="J398" s="1293"/>
      <c r="K398" s="1293"/>
      <c r="L398" s="1293"/>
      <c r="M398" s="1293"/>
      <c r="N398" s="1150"/>
      <c r="O398" s="1150"/>
      <c r="P398" s="1150"/>
      <c r="Q398" s="1150"/>
    </row>
    <row r="399" spans="4:12" ht="12.75" customHeight="1">
      <c r="D399" s="1290" t="s">
        <v>690</v>
      </c>
      <c r="E399" s="1290"/>
      <c r="F399" s="1290"/>
      <c r="G399" s="1290"/>
      <c r="H399" s="1290"/>
      <c r="I399" s="1290"/>
      <c r="J399" s="1290"/>
      <c r="K399" s="1290"/>
      <c r="L399" s="1290"/>
    </row>
    <row r="400" spans="3:16" ht="12.75" customHeight="1">
      <c r="C400" s="1147" t="s">
        <v>680</v>
      </c>
      <c r="D400" s="1148" t="s">
        <v>681</v>
      </c>
      <c r="E400" s="1147" t="s">
        <v>682</v>
      </c>
      <c r="F400" s="1147" t="s">
        <v>683</v>
      </c>
      <c r="G400" s="1147" t="s">
        <v>684</v>
      </c>
      <c r="H400" s="1149" t="s">
        <v>685</v>
      </c>
      <c r="I400" s="1147" t="s">
        <v>686</v>
      </c>
      <c r="J400" s="1147" t="s">
        <v>687</v>
      </c>
      <c r="K400" s="1147" t="s">
        <v>688</v>
      </c>
      <c r="L400" s="1147" t="s">
        <v>689</v>
      </c>
      <c r="P400" s="1" t="s">
        <v>716</v>
      </c>
    </row>
    <row r="401" spans="1:16" ht="12.75" customHeight="1">
      <c r="A401">
        <v>1</v>
      </c>
      <c r="C401" s="1147">
        <v>40</v>
      </c>
      <c r="D401" s="1148">
        <v>71</v>
      </c>
      <c r="E401" s="1147">
        <v>127</v>
      </c>
      <c r="F401" s="1147">
        <v>127</v>
      </c>
      <c r="G401" s="1147">
        <v>169</v>
      </c>
      <c r="H401" s="1147">
        <v>169</v>
      </c>
      <c r="I401" s="1147">
        <v>147</v>
      </c>
      <c r="J401" s="1147">
        <v>147</v>
      </c>
      <c r="K401" s="1147">
        <v>110</v>
      </c>
      <c r="L401" s="1147">
        <v>333</v>
      </c>
      <c r="P401" s="1" t="s">
        <v>717</v>
      </c>
    </row>
    <row r="402" spans="1:16" ht="12.75" customHeight="1">
      <c r="A402">
        <v>2</v>
      </c>
      <c r="C402" s="1147">
        <v>44</v>
      </c>
      <c r="D402" s="1148">
        <v>70</v>
      </c>
      <c r="E402" s="1147">
        <v>123</v>
      </c>
      <c r="F402" s="1147">
        <v>123</v>
      </c>
      <c r="G402" s="1147">
        <v>180</v>
      </c>
      <c r="H402" s="1147">
        <v>180</v>
      </c>
      <c r="I402" s="1147">
        <v>161</v>
      </c>
      <c r="J402" s="1147">
        <v>161</v>
      </c>
      <c r="K402" s="1147">
        <v>128</v>
      </c>
      <c r="L402" s="1147">
        <v>331</v>
      </c>
      <c r="P402" s="1" t="s">
        <v>718</v>
      </c>
    </row>
    <row r="403" spans="1:16" ht="12.75" customHeight="1">
      <c r="A403">
        <v>3</v>
      </c>
      <c r="C403" s="1147">
        <v>48</v>
      </c>
      <c r="D403" s="1148">
        <v>73</v>
      </c>
      <c r="E403" s="1147">
        <v>125</v>
      </c>
      <c r="F403" s="1147">
        <v>125</v>
      </c>
      <c r="G403" s="1147">
        <v>184</v>
      </c>
      <c r="H403" s="1147">
        <v>184</v>
      </c>
      <c r="I403" s="1147">
        <v>177</v>
      </c>
      <c r="J403" s="1147">
        <v>177</v>
      </c>
      <c r="K403" s="1147">
        <v>149</v>
      </c>
      <c r="L403" s="1147">
        <v>328</v>
      </c>
      <c r="P403" s="1" t="s">
        <v>719</v>
      </c>
    </row>
    <row r="404" spans="1:16" ht="12.75" customHeight="1">
      <c r="A404">
        <v>4</v>
      </c>
      <c r="C404" s="1147">
        <v>52</v>
      </c>
      <c r="D404" s="1151">
        <v>79</v>
      </c>
      <c r="E404" s="1147">
        <v>127</v>
      </c>
      <c r="F404" s="1147">
        <v>127</v>
      </c>
      <c r="G404" s="1147">
        <v>194</v>
      </c>
      <c r="H404" s="1147">
        <v>194</v>
      </c>
      <c r="I404" s="1147">
        <v>191</v>
      </c>
      <c r="J404" s="1147">
        <v>191</v>
      </c>
      <c r="K404" s="1147">
        <v>168</v>
      </c>
      <c r="L404" s="1147">
        <v>329</v>
      </c>
      <c r="P404" s="1" t="s">
        <v>720</v>
      </c>
    </row>
    <row r="405" spans="1:16" ht="12.75" customHeight="1">
      <c r="A405">
        <v>5</v>
      </c>
      <c r="C405" s="1147">
        <v>56</v>
      </c>
      <c r="D405" s="1151">
        <v>80</v>
      </c>
      <c r="E405" s="1147">
        <v>129</v>
      </c>
      <c r="F405" s="1147">
        <v>129</v>
      </c>
      <c r="G405" s="1147">
        <v>201</v>
      </c>
      <c r="H405" s="1147">
        <v>201</v>
      </c>
      <c r="I405" s="1147">
        <v>202</v>
      </c>
      <c r="J405" s="1147">
        <v>202</v>
      </c>
      <c r="K405" s="1147">
        <v>187</v>
      </c>
      <c r="L405" s="1147">
        <v>327</v>
      </c>
      <c r="P405" s="1" t="s">
        <v>721</v>
      </c>
    </row>
    <row r="406" spans="1:16" ht="12.75" customHeight="1">
      <c r="A406">
        <v>6</v>
      </c>
      <c r="C406" s="1147">
        <v>60</v>
      </c>
      <c r="D406" s="1151">
        <v>82</v>
      </c>
      <c r="E406" s="1147">
        <v>134</v>
      </c>
      <c r="F406" s="1147">
        <v>134</v>
      </c>
      <c r="G406" s="1147">
        <v>206</v>
      </c>
      <c r="H406" s="1147">
        <v>206</v>
      </c>
      <c r="I406" s="1147">
        <v>213</v>
      </c>
      <c r="J406" s="1147">
        <v>213</v>
      </c>
      <c r="K406" s="1147">
        <v>204</v>
      </c>
      <c r="L406" s="1147">
        <v>319</v>
      </c>
      <c r="P406" s="1" t="s">
        <v>722</v>
      </c>
    </row>
    <row r="407" spans="1:16" ht="12.75" customHeight="1">
      <c r="A407">
        <v>7</v>
      </c>
      <c r="C407" s="1147">
        <v>64</v>
      </c>
      <c r="D407" s="1151">
        <v>88</v>
      </c>
      <c r="E407" s="1147">
        <v>143</v>
      </c>
      <c r="F407" s="1147">
        <v>143</v>
      </c>
      <c r="G407" s="1147">
        <v>215</v>
      </c>
      <c r="H407" s="1147">
        <v>215</v>
      </c>
      <c r="I407" s="1147">
        <v>235</v>
      </c>
      <c r="J407" s="1147">
        <v>235</v>
      </c>
      <c r="K407" s="1147">
        <v>221</v>
      </c>
      <c r="L407" s="1147">
        <v>319</v>
      </c>
      <c r="P407" s="1" t="s">
        <v>723</v>
      </c>
    </row>
    <row r="408" spans="1:16" ht="12.75" customHeight="1">
      <c r="A408">
        <v>8</v>
      </c>
      <c r="C408" s="1147">
        <v>68</v>
      </c>
      <c r="D408" s="1151">
        <v>104</v>
      </c>
      <c r="E408" s="1147">
        <v>164</v>
      </c>
      <c r="F408" s="1147">
        <v>164</v>
      </c>
      <c r="G408" s="1147">
        <v>239</v>
      </c>
      <c r="H408" s="1147">
        <v>239</v>
      </c>
      <c r="I408" s="1147">
        <v>259</v>
      </c>
      <c r="J408" s="1147">
        <v>259</v>
      </c>
      <c r="K408" s="1147">
        <v>241</v>
      </c>
      <c r="L408" s="1147">
        <v>332</v>
      </c>
      <c r="P408" s="1" t="s">
        <v>724</v>
      </c>
    </row>
    <row r="409" spans="3:12" ht="12.75" customHeight="1">
      <c r="C409" s="1147"/>
      <c r="D409" s="1151"/>
      <c r="E409" s="1147"/>
      <c r="F409" s="1147"/>
      <c r="G409" s="1147"/>
      <c r="H409" s="1147"/>
      <c r="I409" s="1147"/>
      <c r="J409" s="1147"/>
      <c r="K409" s="1147"/>
      <c r="L409" s="1147"/>
    </row>
    <row r="410" spans="3:16" ht="12.75" customHeight="1">
      <c r="C410" s="1147">
        <f>IF(C401=AM241,A401,0)+IF(C402=AM241,A402,0)+IF(C403=AM241,A403,0)+IF(C404=AM241,A404,0)+IF(C405=AM241,A405,0)+IF(C406=AM241,A406,0)+IF(C407=AM241,A407,0)+IF(C408=AM241,A408,0)</f>
        <v>5</v>
      </c>
      <c r="D410" s="3">
        <f>INDEX(D401:L408,C410,P410)</f>
        <v>327</v>
      </c>
      <c r="P410" s="1154">
        <v>9</v>
      </c>
    </row>
    <row r="412" spans="3:13" ht="12.75" customHeight="1">
      <c r="C412" s="1294" t="s">
        <v>691</v>
      </c>
      <c r="D412" s="1294"/>
      <c r="E412" s="1294"/>
      <c r="F412" s="1294"/>
      <c r="G412" s="1294"/>
      <c r="H412" s="1294"/>
      <c r="I412" s="1294"/>
      <c r="J412" s="1294"/>
      <c r="K412" s="1294"/>
      <c r="L412" s="1294"/>
      <c r="M412" s="1294"/>
    </row>
    <row r="413" spans="4:10" ht="12.75" customHeight="1">
      <c r="D413" s="1290" t="s">
        <v>692</v>
      </c>
      <c r="E413" s="1290"/>
      <c r="F413" s="1290"/>
      <c r="G413" s="1290"/>
      <c r="H413" s="1290"/>
      <c r="I413" s="1290"/>
      <c r="J413">
        <v>0.5</v>
      </c>
    </row>
    <row r="414" spans="4:10" ht="12.75" customHeight="1">
      <c r="D414" s="1290" t="s">
        <v>693</v>
      </c>
      <c r="E414" s="1290"/>
      <c r="F414" s="1290"/>
      <c r="G414" s="1290"/>
      <c r="H414" s="1290"/>
      <c r="I414" s="1290"/>
      <c r="J414">
        <v>0.65</v>
      </c>
    </row>
    <row r="415" spans="4:10" ht="12.75" customHeight="1">
      <c r="D415" s="1290" t="s">
        <v>694</v>
      </c>
      <c r="E415" s="1290"/>
      <c r="F415" s="1290"/>
      <c r="G415" s="1290"/>
      <c r="H415" s="1290"/>
      <c r="I415" s="1290"/>
      <c r="J415">
        <v>0.9</v>
      </c>
    </row>
    <row r="416" spans="4:10" ht="12.75" customHeight="1">
      <c r="D416" s="1290" t="s">
        <v>695</v>
      </c>
      <c r="E416" s="1290"/>
      <c r="F416" s="1290"/>
      <c r="G416" s="1290"/>
      <c r="H416" s="1290"/>
      <c r="I416" s="1290"/>
      <c r="J416">
        <v>0.7</v>
      </c>
    </row>
    <row r="417" spans="4:10" ht="12.75" customHeight="1">
      <c r="D417" s="1290" t="s">
        <v>696</v>
      </c>
      <c r="E417" s="1290"/>
      <c r="F417" s="1290"/>
      <c r="G417" s="1290"/>
      <c r="H417" s="1290"/>
      <c r="I417" s="1290"/>
      <c r="J417">
        <v>0.6</v>
      </c>
    </row>
    <row r="418" spans="4:10" ht="12.75" customHeight="1">
      <c r="D418" s="1290" t="s">
        <v>697</v>
      </c>
      <c r="E418" s="1290"/>
      <c r="F418" s="1290"/>
      <c r="G418" s="1290"/>
      <c r="H418" s="1290"/>
      <c r="I418" s="1290"/>
      <c r="J418">
        <v>0.65</v>
      </c>
    </row>
    <row r="419" spans="4:10" ht="12.75" customHeight="1">
      <c r="D419" s="1290" t="s">
        <v>698</v>
      </c>
      <c r="E419" s="1290"/>
      <c r="F419" s="1290"/>
      <c r="G419" s="1290"/>
      <c r="H419" s="1290"/>
      <c r="I419" s="1290"/>
      <c r="J419">
        <v>0.7</v>
      </c>
    </row>
    <row r="420" spans="4:10" ht="12.75" customHeight="1">
      <c r="D420" s="1290" t="s">
        <v>699</v>
      </c>
      <c r="E420" s="1290"/>
      <c r="F420" s="1290"/>
      <c r="G420" s="1290"/>
      <c r="H420" s="1290"/>
      <c r="I420" s="1290"/>
      <c r="J420">
        <v>0.6</v>
      </c>
    </row>
    <row r="421" spans="4:10" ht="12.75" customHeight="1">
      <c r="D421" s="1290" t="s">
        <v>700</v>
      </c>
      <c r="E421" s="1290"/>
      <c r="F421" s="1290"/>
      <c r="G421" s="1290"/>
      <c r="H421" s="1290"/>
      <c r="I421" s="1290"/>
      <c r="J421">
        <v>0.45</v>
      </c>
    </row>
    <row r="422" spans="4:10" ht="12.75" customHeight="1">
      <c r="D422" s="1290" t="s">
        <v>701</v>
      </c>
      <c r="E422" s="1290"/>
      <c r="F422" s="1290"/>
      <c r="G422" s="1290"/>
      <c r="H422" s="1290"/>
      <c r="I422" s="1290"/>
      <c r="J422">
        <v>0.7</v>
      </c>
    </row>
    <row r="423" spans="4:10" ht="12.75" customHeight="1">
      <c r="D423" s="1290" t="s">
        <v>702</v>
      </c>
      <c r="E423" s="1290"/>
      <c r="F423" s="1290"/>
      <c r="G423" s="1290"/>
      <c r="H423" s="1290"/>
      <c r="I423" s="1290"/>
      <c r="J423">
        <v>0.3</v>
      </c>
    </row>
    <row r="424" spans="4:10" ht="12.75" customHeight="1">
      <c r="D424" s="1290" t="s">
        <v>703</v>
      </c>
      <c r="E424" s="1290"/>
      <c r="F424" s="1290"/>
      <c r="G424" s="1290"/>
      <c r="H424" s="1290"/>
      <c r="I424" s="1290"/>
      <c r="J424">
        <v>0.8</v>
      </c>
    </row>
    <row r="425" spans="4:10" ht="12.75" customHeight="1">
      <c r="D425" s="1290" t="s">
        <v>704</v>
      </c>
      <c r="E425" s="1290"/>
      <c r="F425" s="1290"/>
      <c r="G425" s="1290"/>
      <c r="H425" s="1290"/>
      <c r="I425" s="1290"/>
      <c r="J425">
        <v>0.6</v>
      </c>
    </row>
    <row r="426" spans="4:10" ht="12.75" customHeight="1">
      <c r="D426" s="1290" t="s">
        <v>705</v>
      </c>
      <c r="E426" s="1290"/>
      <c r="F426" s="1290"/>
      <c r="G426" s="1290"/>
      <c r="H426" s="1290"/>
      <c r="I426" s="1290"/>
      <c r="J426">
        <v>0.45</v>
      </c>
    </row>
    <row r="427" spans="4:10" ht="12.75" customHeight="1">
      <c r="D427" s="1290" t="s">
        <v>706</v>
      </c>
      <c r="E427" s="1290"/>
      <c r="F427" s="1290"/>
      <c r="G427" s="1290"/>
      <c r="H427" s="1290"/>
      <c r="I427" s="1290"/>
      <c r="J427">
        <v>0.9</v>
      </c>
    </row>
    <row r="428" spans="4:10" ht="12.75" customHeight="1">
      <c r="D428" s="1290" t="s">
        <v>707</v>
      </c>
      <c r="E428" s="1290"/>
      <c r="F428" s="1290"/>
      <c r="G428" s="1290"/>
      <c r="H428" s="1290"/>
      <c r="I428" s="1290"/>
      <c r="J428">
        <v>0.45</v>
      </c>
    </row>
    <row r="429" spans="4:10" ht="12.75" customHeight="1">
      <c r="D429" s="1290" t="s">
        <v>708</v>
      </c>
      <c r="E429" s="1290"/>
      <c r="F429" s="1290"/>
      <c r="G429" s="1290"/>
      <c r="H429" s="1290"/>
      <c r="I429" s="1290"/>
      <c r="J429">
        <v>0.6</v>
      </c>
    </row>
    <row r="430" spans="4:10" ht="12.75" customHeight="1">
      <c r="D430" s="1290" t="s">
        <v>709</v>
      </c>
      <c r="E430" s="1290"/>
      <c r="F430" s="1290"/>
      <c r="G430" s="1290"/>
      <c r="H430" s="1290"/>
      <c r="I430" s="1290"/>
      <c r="J430">
        <v>0.8</v>
      </c>
    </row>
    <row r="431" spans="4:10" ht="12.75" customHeight="1">
      <c r="D431" s="1290" t="s">
        <v>710</v>
      </c>
      <c r="E431" s="1290"/>
      <c r="F431" s="1290"/>
      <c r="G431" s="1290"/>
      <c r="H431" s="1290"/>
      <c r="I431" s="1290"/>
      <c r="J431">
        <v>0.65</v>
      </c>
    </row>
    <row r="432" spans="4:10" ht="12.75" customHeight="1">
      <c r="D432" s="1290" t="s">
        <v>711</v>
      </c>
      <c r="E432" s="1290"/>
      <c r="F432" s="1290"/>
      <c r="G432" s="1290"/>
      <c r="H432" s="1290"/>
      <c r="I432" s="1290"/>
      <c r="J432">
        <v>0.7</v>
      </c>
    </row>
    <row r="433" spans="4:10" ht="12.75" customHeight="1">
      <c r="D433" s="1290" t="s">
        <v>712</v>
      </c>
      <c r="E433" s="1290"/>
      <c r="F433" s="1290"/>
      <c r="G433" s="1290"/>
      <c r="H433" s="1290"/>
      <c r="I433" s="1290"/>
      <c r="J433">
        <v>0.7</v>
      </c>
    </row>
    <row r="434" spans="4:10" ht="12.75" customHeight="1">
      <c r="D434" s="1290" t="s">
        <v>713</v>
      </c>
      <c r="E434" s="1290"/>
      <c r="F434" s="1290"/>
      <c r="G434" s="1290"/>
      <c r="H434" s="1290"/>
      <c r="I434" s="1290"/>
      <c r="J434">
        <v>0.3</v>
      </c>
    </row>
    <row r="435" spans="4:10" ht="12.75" customHeight="1">
      <c r="D435" s="1290" t="s">
        <v>714</v>
      </c>
      <c r="E435" s="1290"/>
      <c r="F435" s="1290"/>
      <c r="G435" s="1290"/>
      <c r="H435" s="1290"/>
      <c r="I435" s="1290"/>
      <c r="J435">
        <v>0.6</v>
      </c>
    </row>
    <row r="436" spans="4:10" ht="12.75" customHeight="1">
      <c r="D436" s="1290" t="s">
        <v>715</v>
      </c>
      <c r="E436" s="1290"/>
      <c r="F436" s="1290"/>
      <c r="G436" s="1290"/>
      <c r="H436" s="1290"/>
      <c r="I436" s="1290"/>
      <c r="J436">
        <v>0.4</v>
      </c>
    </row>
    <row r="437" spans="4:10" ht="12.75" customHeight="1">
      <c r="D437" s="1294">
        <v>6</v>
      </c>
      <c r="E437" s="1294"/>
      <c r="F437" s="1294"/>
      <c r="G437" s="1294"/>
      <c r="H437" s="1294"/>
      <c r="I437" s="1294"/>
      <c r="J437">
        <f>INDEX(J413:J436,D437,1)</f>
        <v>0.65</v>
      </c>
    </row>
    <row r="438" spans="4:9" ht="12.75" customHeight="1">
      <c r="D438" s="1290"/>
      <c r="E438" s="1290"/>
      <c r="F438" s="1290"/>
      <c r="G438" s="1290"/>
      <c r="H438" s="1290"/>
      <c r="I438" s="1290"/>
    </row>
    <row r="439" spans="4:9" ht="12.75" customHeight="1">
      <c r="D439" s="1290"/>
      <c r="E439" s="1290"/>
      <c r="F439" s="1290"/>
      <c r="G439" s="1290"/>
      <c r="H439" s="1290"/>
      <c r="I439" s="1290"/>
    </row>
    <row r="440" spans="4:14" ht="12.75" customHeight="1">
      <c r="D440" s="1290"/>
      <c r="E440" s="1290"/>
      <c r="F440" s="1290"/>
      <c r="G440" s="1290"/>
      <c r="H440" s="1290"/>
      <c r="I440" s="1290"/>
      <c r="J440" s="1290"/>
      <c r="K440" s="1290"/>
      <c r="L440" s="1290"/>
      <c r="M440" s="1290"/>
      <c r="N440" s="1290"/>
    </row>
    <row r="441" spans="4:14" ht="12.75" customHeight="1">
      <c r="D441" s="1290"/>
      <c r="E441" s="1290"/>
      <c r="F441" s="1290"/>
      <c r="G441" s="1290"/>
      <c r="H441" s="1290"/>
      <c r="I441" s="1290"/>
      <c r="J441" s="1290"/>
      <c r="K441" s="1290"/>
      <c r="L441" s="1290"/>
      <c r="M441" s="1290"/>
      <c r="N441" s="1290"/>
    </row>
    <row r="442" spans="4:11" ht="12.75" customHeight="1">
      <c r="D442" s="1155" t="s">
        <v>725</v>
      </c>
      <c r="E442" s="1155">
        <v>5.8</v>
      </c>
      <c r="F442" s="1155">
        <v>11.6</v>
      </c>
      <c r="G442" s="1155">
        <f>POWER(AK241,0.5)</f>
        <v>2.2135943621178655</v>
      </c>
      <c r="H442" s="1155">
        <f>E442+F442*G442</f>
        <v>31.47769460056724</v>
      </c>
      <c r="I442" s="1155"/>
      <c r="J442" s="1294">
        <f>IF(9=P410,H443,H442)</f>
        <v>14.455345341506451</v>
      </c>
      <c r="K442" s="1294"/>
    </row>
    <row r="443" spans="4:11" ht="12.75" customHeight="1">
      <c r="D443" s="1155" t="s">
        <v>689</v>
      </c>
      <c r="E443" s="1155">
        <v>8.7</v>
      </c>
      <c r="F443" s="1155">
        <v>2.6</v>
      </c>
      <c r="G443" s="1155">
        <f>POWER(AK241,0.5)</f>
        <v>2.2135943621178655</v>
      </c>
      <c r="H443" s="1155">
        <f>E443+F443*G443</f>
        <v>14.455345341506451</v>
      </c>
      <c r="I443" s="1155"/>
      <c r="J443" s="1294"/>
      <c r="K443" s="1294"/>
    </row>
    <row r="444" spans="4:9" ht="12.75" customHeight="1">
      <c r="D444" s="1155"/>
      <c r="E444" s="1155"/>
      <c r="F444" s="1155"/>
      <c r="G444" s="1155"/>
      <c r="H444" s="1155"/>
      <c r="I444" s="1155"/>
    </row>
    <row r="445" spans="3:14" ht="12.75" customHeight="1">
      <c r="C445" s="1294" t="s">
        <v>727</v>
      </c>
      <c r="D445" s="1294"/>
      <c r="E445" s="1294"/>
      <c r="F445" s="1294"/>
      <c r="G445" s="1294"/>
      <c r="H445" s="1294"/>
      <c r="I445" s="1294"/>
      <c r="J445" s="1294"/>
      <c r="K445" s="1294"/>
      <c r="L445" s="1294"/>
      <c r="M445" s="1294"/>
      <c r="N445" s="1294"/>
    </row>
    <row r="446" spans="4:9" ht="12.75" customHeight="1">
      <c r="D446" s="1155">
        <v>1</v>
      </c>
      <c r="E446" s="1155">
        <v>-0.87</v>
      </c>
      <c r="F446" s="1155"/>
      <c r="G446" s="1155"/>
      <c r="H446" s="1155"/>
      <c r="I446" s="1155"/>
    </row>
    <row r="447" spans="4:9" ht="12.75" customHeight="1">
      <c r="D447" s="1155">
        <v>2</v>
      </c>
      <c r="E447" s="1158">
        <v>-0.97</v>
      </c>
      <c r="F447" s="1155"/>
      <c r="G447" s="1155"/>
      <c r="H447" s="1155"/>
      <c r="I447" s="1155"/>
    </row>
    <row r="448" spans="4:9" ht="12.75" customHeight="1">
      <c r="D448" s="1155">
        <v>3</v>
      </c>
      <c r="E448" s="1158">
        <v>-1</v>
      </c>
      <c r="F448" s="1155"/>
      <c r="G448" s="1155"/>
      <c r="H448" s="1155"/>
      <c r="I448" s="1155"/>
    </row>
    <row r="449" spans="4:9" ht="12.75" customHeight="1">
      <c r="D449" s="1158">
        <v>4</v>
      </c>
      <c r="E449" s="1158">
        <v>-0.97</v>
      </c>
      <c r="F449" s="1155"/>
      <c r="G449" s="1155"/>
      <c r="H449" s="1155"/>
      <c r="I449" s="1155"/>
    </row>
    <row r="450" spans="4:9" ht="12.75" customHeight="1">
      <c r="D450" s="1158">
        <v>5</v>
      </c>
      <c r="E450" s="1155">
        <v>-0.87</v>
      </c>
      <c r="F450" s="1155"/>
      <c r="G450" s="1155"/>
      <c r="H450" s="1155"/>
      <c r="I450" s="1155"/>
    </row>
    <row r="451" spans="4:9" ht="12.75" customHeight="1">
      <c r="D451" s="1155">
        <v>6</v>
      </c>
      <c r="E451" s="1158">
        <v>-0.71</v>
      </c>
      <c r="F451" s="1155"/>
      <c r="G451" s="1155"/>
      <c r="H451" s="1155"/>
      <c r="I451" s="1155"/>
    </row>
    <row r="452" spans="4:9" ht="12.75" customHeight="1">
      <c r="D452" s="1155">
        <v>7</v>
      </c>
      <c r="E452" s="1158">
        <v>-0.5</v>
      </c>
      <c r="F452" s="1155"/>
      <c r="G452" s="1155"/>
      <c r="H452" s="1155"/>
      <c r="I452" s="1155"/>
    </row>
    <row r="453" spans="4:9" ht="12.75" customHeight="1">
      <c r="D453" s="1155">
        <v>8</v>
      </c>
      <c r="E453" s="1158">
        <v>-0.26</v>
      </c>
      <c r="F453" s="1155"/>
      <c r="G453" s="1155"/>
      <c r="H453" s="1155"/>
      <c r="I453" s="1155"/>
    </row>
    <row r="454" spans="4:9" ht="12.75" customHeight="1">
      <c r="D454" s="1158">
        <v>9</v>
      </c>
      <c r="E454" s="1158">
        <v>0</v>
      </c>
      <c r="F454" s="1155"/>
      <c r="G454" s="1155"/>
      <c r="H454" s="1155"/>
      <c r="I454" s="1155"/>
    </row>
    <row r="455" spans="4:9" ht="12.75" customHeight="1">
      <c r="D455" s="1158">
        <v>10</v>
      </c>
      <c r="E455" s="1158">
        <v>0.26</v>
      </c>
      <c r="F455" s="1155"/>
      <c r="G455" s="1155"/>
      <c r="H455" s="1155"/>
      <c r="I455" s="1155"/>
    </row>
    <row r="456" spans="4:9" ht="12.75" customHeight="1">
      <c r="D456" s="1155">
        <v>11</v>
      </c>
      <c r="E456" s="1158">
        <v>0.5</v>
      </c>
      <c r="F456" s="1155"/>
      <c r="G456" s="1155"/>
      <c r="H456" s="1155"/>
      <c r="I456" s="1155"/>
    </row>
    <row r="457" spans="4:9" ht="12.75" customHeight="1">
      <c r="D457" s="1155">
        <v>12</v>
      </c>
      <c r="E457" s="1158">
        <v>0.71</v>
      </c>
      <c r="F457" s="1155"/>
      <c r="G457" s="1155"/>
      <c r="H457" s="1155"/>
      <c r="I457" s="1155"/>
    </row>
    <row r="458" spans="4:9" ht="12.75" customHeight="1">
      <c r="D458" s="1155">
        <v>13</v>
      </c>
      <c r="E458" s="1158">
        <v>0.87</v>
      </c>
      <c r="F458" s="1155"/>
      <c r="G458" s="1155"/>
      <c r="H458" s="1155"/>
      <c r="I458" s="1155"/>
    </row>
    <row r="459" spans="4:9" ht="12.75" customHeight="1">
      <c r="D459" s="1158">
        <v>14</v>
      </c>
      <c r="E459" s="1158">
        <v>0.97</v>
      </c>
      <c r="F459" s="1155"/>
      <c r="G459" s="1155"/>
      <c r="H459" s="1155"/>
      <c r="I459" s="1155"/>
    </row>
    <row r="460" spans="4:9" ht="12.75" customHeight="1">
      <c r="D460" s="1158">
        <v>15</v>
      </c>
      <c r="E460" s="1158">
        <v>1</v>
      </c>
      <c r="F460" s="1155"/>
      <c r="G460" s="1155"/>
      <c r="H460" s="1155"/>
      <c r="I460" s="1155"/>
    </row>
    <row r="461" spans="4:9" ht="12.75" customHeight="1">
      <c r="D461" s="1155">
        <v>16</v>
      </c>
      <c r="E461" s="1158">
        <v>0.97</v>
      </c>
      <c r="F461" s="1155"/>
      <c r="G461" s="1155"/>
      <c r="H461" s="1155"/>
      <c r="I461" s="1155"/>
    </row>
    <row r="462" spans="4:9" ht="12.75" customHeight="1">
      <c r="D462" s="1155">
        <v>17</v>
      </c>
      <c r="E462" s="1158">
        <v>0.87</v>
      </c>
      <c r="F462" s="1155"/>
      <c r="G462" s="1155"/>
      <c r="H462" s="1155"/>
      <c r="I462" s="1155"/>
    </row>
    <row r="463" spans="4:9" ht="12.75" customHeight="1">
      <c r="D463" s="1155">
        <v>18</v>
      </c>
      <c r="E463" s="1158">
        <v>0.71</v>
      </c>
      <c r="F463" s="1155"/>
      <c r="G463" s="1155"/>
      <c r="H463" s="1155"/>
      <c r="I463" s="1155"/>
    </row>
    <row r="464" spans="4:9" ht="12.75" customHeight="1">
      <c r="D464" s="1158">
        <v>19</v>
      </c>
      <c r="E464" s="1158">
        <v>0.5</v>
      </c>
      <c r="F464" s="1155"/>
      <c r="G464" s="1155"/>
      <c r="H464" s="1155"/>
      <c r="I464" s="1155"/>
    </row>
    <row r="465" spans="4:9" ht="12.75" customHeight="1">
      <c r="D465" s="1158">
        <v>20</v>
      </c>
      <c r="E465" s="1158">
        <v>0.26</v>
      </c>
      <c r="F465" s="1155"/>
      <c r="G465" s="1155"/>
      <c r="H465" s="1155"/>
      <c r="I465" s="1155"/>
    </row>
    <row r="466" spans="4:9" ht="12.75" customHeight="1">
      <c r="D466" s="1155">
        <v>21</v>
      </c>
      <c r="E466" s="1158">
        <v>0</v>
      </c>
      <c r="F466" s="1155"/>
      <c r="G466" s="1155"/>
      <c r="H466" s="1155"/>
      <c r="I466" s="1155"/>
    </row>
    <row r="467" spans="4:9" ht="12.75" customHeight="1">
      <c r="D467" s="1155">
        <v>22</v>
      </c>
      <c r="E467" s="1158">
        <v>-0.26</v>
      </c>
      <c r="F467" s="1155"/>
      <c r="G467" s="1155"/>
      <c r="H467" s="1155"/>
      <c r="I467" s="1155"/>
    </row>
    <row r="468" spans="4:9" ht="12.75" customHeight="1">
      <c r="D468" s="1155">
        <v>23</v>
      </c>
      <c r="E468" s="1158">
        <v>-0.5</v>
      </c>
      <c r="F468" s="1155"/>
      <c r="G468" s="1155"/>
      <c r="H468" s="1155"/>
      <c r="I468" s="1155"/>
    </row>
    <row r="469" spans="4:9" ht="12.75" customHeight="1">
      <c r="D469" s="1158">
        <v>24</v>
      </c>
      <c r="E469" s="1158">
        <v>-0.71</v>
      </c>
      <c r="F469" s="1155"/>
      <c r="G469" s="1155"/>
      <c r="H469" s="1155"/>
      <c r="I469" s="1155"/>
    </row>
    <row r="470" spans="4:9" ht="12.75" customHeight="1">
      <c r="D470" s="1155">
        <v>15</v>
      </c>
      <c r="E470" s="1155">
        <f>INDEX(E446:E469,D470,1)</f>
        <v>1</v>
      </c>
      <c r="F470" s="1155"/>
      <c r="G470" s="1155"/>
      <c r="H470" s="1155"/>
      <c r="I470" s="1155"/>
    </row>
    <row r="471" spans="4:9" ht="12.75" customHeight="1">
      <c r="D471" s="1155"/>
      <c r="E471" s="1155"/>
      <c r="F471" s="1155"/>
      <c r="G471" s="1155"/>
      <c r="H471" s="1155"/>
      <c r="I471" s="1155"/>
    </row>
    <row r="472" spans="3:13" ht="12.75" customHeight="1">
      <c r="C472" s="1294" t="s">
        <v>728</v>
      </c>
      <c r="D472" s="1294"/>
      <c r="E472" s="1294"/>
      <c r="F472" s="1294"/>
      <c r="G472" s="1294"/>
      <c r="H472" s="1294"/>
      <c r="I472" s="1294"/>
      <c r="J472" s="1294"/>
      <c r="K472" s="1294"/>
      <c r="L472" s="1294"/>
      <c r="M472" s="1294"/>
    </row>
    <row r="473" spans="4:10" ht="12.75" customHeight="1">
      <c r="D473" s="1155" t="s">
        <v>729</v>
      </c>
      <c r="E473" s="1155">
        <v>2.7</v>
      </c>
      <c r="F473" s="1159" t="e">
        <f>#REF!</f>
        <v>#REF!</v>
      </c>
      <c r="G473" s="1155" t="s">
        <v>730</v>
      </c>
      <c r="H473" s="1155">
        <v>0.4</v>
      </c>
      <c r="I473" s="1155" t="s">
        <v>61</v>
      </c>
      <c r="J473" t="e">
        <f>E473*F473-H473</f>
        <v>#REF!</v>
      </c>
    </row>
    <row r="474" spans="3:13" ht="12.75" customHeight="1">
      <c r="C474" s="1294" t="s">
        <v>731</v>
      </c>
      <c r="D474" s="1294"/>
      <c r="E474" s="1294"/>
      <c r="F474" s="1294"/>
      <c r="G474" s="1294"/>
      <c r="H474" s="1294"/>
      <c r="I474" s="1294"/>
      <c r="J474" s="1294"/>
      <c r="K474" s="1294"/>
      <c r="L474" s="1294"/>
      <c r="M474" s="1294"/>
    </row>
    <row r="475" spans="4:12" ht="12.75" customHeight="1">
      <c r="D475" s="1155" t="s">
        <v>732</v>
      </c>
      <c r="E475" s="1155">
        <f>Tab!D470</f>
        <v>15</v>
      </c>
      <c r="F475" s="1148" t="s">
        <v>730</v>
      </c>
      <c r="G475" s="1155" t="e">
        <f>J473</f>
        <v>#REF!</v>
      </c>
      <c r="H475" s="1155" t="s">
        <v>61</v>
      </c>
      <c r="I475" s="1155" t="e">
        <f>ROUND(E475-G475,0)</f>
        <v>#REF!</v>
      </c>
      <c r="K475" s="1294" t="e">
        <f>IF(I475&lt;0,I476,I475)</f>
        <v>#REF!</v>
      </c>
      <c r="L475" s="1294"/>
    </row>
    <row r="476" spans="4:12" ht="12.75" customHeight="1">
      <c r="D476" s="1155" t="s">
        <v>732</v>
      </c>
      <c r="E476" s="1155">
        <v>24</v>
      </c>
      <c r="F476" s="1148" t="s">
        <v>733</v>
      </c>
      <c r="G476" s="1155" t="e">
        <f>D470-J473</f>
        <v>#REF!</v>
      </c>
      <c r="H476" s="1155" t="s">
        <v>61</v>
      </c>
      <c r="I476" s="1155" t="e">
        <f>ROUND(E476+G476,0)</f>
        <v>#REF!</v>
      </c>
      <c r="K476" s="1294"/>
      <c r="L476" s="1294"/>
    </row>
    <row r="477" spans="4:9" ht="12.75" customHeight="1">
      <c r="D477" s="1155"/>
      <c r="E477" s="1155"/>
      <c r="F477" s="1155"/>
      <c r="G477" s="1155"/>
      <c r="H477" s="1155"/>
      <c r="I477" s="1155"/>
    </row>
    <row r="478" spans="6:13" ht="12.75" customHeight="1">
      <c r="F478" s="1150"/>
      <c r="G478" s="1150"/>
      <c r="H478" s="1150"/>
      <c r="I478" s="1150"/>
      <c r="J478" s="1150"/>
      <c r="K478" s="1150"/>
      <c r="L478" s="1150"/>
      <c r="M478" s="1150"/>
    </row>
    <row r="479" spans="3:22" ht="12.75" customHeight="1">
      <c r="C479" s="1150"/>
      <c r="D479" s="1294" t="s">
        <v>735</v>
      </c>
      <c r="E479" s="1294"/>
      <c r="F479" s="1294"/>
      <c r="G479" s="1294"/>
      <c r="H479" s="1294"/>
      <c r="I479" s="1294"/>
      <c r="J479" s="1294"/>
      <c r="K479" s="1294"/>
      <c r="L479" s="1294"/>
      <c r="N479" s="1294" t="s">
        <v>736</v>
      </c>
      <c r="O479" s="1294"/>
      <c r="P479" s="1294"/>
      <c r="Q479" s="1294"/>
      <c r="R479" s="1294"/>
      <c r="S479" s="1294"/>
      <c r="T479" s="1294"/>
      <c r="U479" s="1294"/>
      <c r="V479" s="1294"/>
    </row>
    <row r="480" spans="3:22" ht="12.75" customHeight="1">
      <c r="C480">
        <v>40</v>
      </c>
      <c r="D480" s="1148" t="s">
        <v>681</v>
      </c>
      <c r="E480" s="1147" t="s">
        <v>682</v>
      </c>
      <c r="F480" s="1147" t="s">
        <v>683</v>
      </c>
      <c r="G480" s="1147" t="s">
        <v>684</v>
      </c>
      <c r="H480" s="1149" t="s">
        <v>685</v>
      </c>
      <c r="I480" s="1147" t="s">
        <v>686</v>
      </c>
      <c r="J480" s="1147" t="s">
        <v>687</v>
      </c>
      <c r="K480" s="1147" t="s">
        <v>688</v>
      </c>
      <c r="L480" s="1147" t="s">
        <v>689</v>
      </c>
      <c r="N480" s="1148" t="s">
        <v>681</v>
      </c>
      <c r="O480" s="1147" t="s">
        <v>682</v>
      </c>
      <c r="P480" s="1147" t="s">
        <v>683</v>
      </c>
      <c r="Q480" s="1147" t="s">
        <v>684</v>
      </c>
      <c r="R480" s="1149" t="s">
        <v>685</v>
      </c>
      <c r="S480" s="1147" t="s">
        <v>686</v>
      </c>
      <c r="T480" s="1147" t="s">
        <v>687</v>
      </c>
      <c r="U480" s="1147" t="s">
        <v>688</v>
      </c>
      <c r="V480" s="1147" t="s">
        <v>689</v>
      </c>
    </row>
    <row r="481" spans="3:22" ht="12.75" customHeight="1">
      <c r="C481">
        <v>1</v>
      </c>
      <c r="D481" s="1148"/>
      <c r="E481" s="1147"/>
      <c r="F481" s="1147"/>
      <c r="G481" s="1147"/>
      <c r="H481" s="1149"/>
      <c r="I481" s="1147"/>
      <c r="J481" s="1147"/>
      <c r="K481" s="1147"/>
      <c r="L481" s="1147"/>
      <c r="N481" s="1148"/>
      <c r="O481" s="1147"/>
      <c r="P481" s="1147"/>
      <c r="Q481" s="1147"/>
      <c r="R481" s="1149"/>
      <c r="S481" s="1147"/>
      <c r="T481" s="1147"/>
      <c r="U481" s="1147"/>
      <c r="V481" s="1147"/>
    </row>
    <row r="482" spans="3:22" ht="12.75" customHeight="1">
      <c r="C482">
        <v>2</v>
      </c>
      <c r="D482" s="1148"/>
      <c r="E482" s="1147"/>
      <c r="F482" s="1147"/>
      <c r="G482" s="1147"/>
      <c r="H482" s="1149"/>
      <c r="I482" s="1147"/>
      <c r="J482" s="1147"/>
      <c r="K482" s="1147"/>
      <c r="L482" s="1147"/>
      <c r="N482" s="1148"/>
      <c r="O482" s="1147"/>
      <c r="P482" s="1147"/>
      <c r="Q482" s="1147"/>
      <c r="R482" s="1149"/>
      <c r="S482" s="1147"/>
      <c r="T482" s="1147"/>
      <c r="U482" s="1147"/>
      <c r="V482" s="1147"/>
    </row>
    <row r="483" spans="3:22" ht="12.75" customHeight="1">
      <c r="C483">
        <v>3</v>
      </c>
      <c r="D483" s="1148"/>
      <c r="E483" s="1147"/>
      <c r="F483" s="1147"/>
      <c r="G483" s="1147"/>
      <c r="H483" s="1149"/>
      <c r="I483" s="1147"/>
      <c r="J483" s="1147"/>
      <c r="K483" s="1147"/>
      <c r="L483" s="1147"/>
      <c r="N483" s="1148"/>
      <c r="O483" s="1147"/>
      <c r="P483" s="1147"/>
      <c r="Q483" s="1147"/>
      <c r="R483" s="1149"/>
      <c r="S483" s="1147"/>
      <c r="T483" s="1147"/>
      <c r="U483" s="1147"/>
      <c r="V483" s="1147"/>
    </row>
    <row r="484" spans="3:22" ht="12.75" customHeight="1">
      <c r="C484">
        <v>4</v>
      </c>
      <c r="D484" s="1148"/>
      <c r="E484" s="1147"/>
      <c r="F484" s="1147"/>
      <c r="G484" s="1147"/>
      <c r="H484" s="1149"/>
      <c r="I484" s="1147"/>
      <c r="J484" s="1147"/>
      <c r="K484" s="1147"/>
      <c r="L484" s="1147"/>
      <c r="N484" s="1148"/>
      <c r="O484" s="1147"/>
      <c r="P484" s="1147"/>
      <c r="Q484" s="1147"/>
      <c r="R484" s="1149"/>
      <c r="S484" s="1147"/>
      <c r="T484" s="1147"/>
      <c r="U484" s="1147"/>
      <c r="V484" s="1147"/>
    </row>
    <row r="485" spans="2:22" ht="12.75" customHeight="1">
      <c r="B485">
        <v>40</v>
      </c>
      <c r="C485">
        <v>5</v>
      </c>
      <c r="D485" s="1148"/>
      <c r="E485" s="1147"/>
      <c r="F485" s="1147"/>
      <c r="G485" s="1147"/>
      <c r="H485" s="1149"/>
      <c r="I485" s="1147"/>
      <c r="J485" s="1147"/>
      <c r="K485" s="1147"/>
      <c r="L485" s="1147"/>
      <c r="N485" s="1148"/>
      <c r="O485" s="1147"/>
      <c r="P485" s="1147"/>
      <c r="Q485" s="1147"/>
      <c r="R485" s="1149"/>
      <c r="S485" s="1147"/>
      <c r="T485" s="1147"/>
      <c r="U485" s="1147"/>
      <c r="V485" s="1147"/>
    </row>
    <row r="486" spans="2:22" ht="12.75" customHeight="1">
      <c r="B486">
        <v>40</v>
      </c>
      <c r="C486">
        <v>6</v>
      </c>
      <c r="D486" s="1155">
        <v>105</v>
      </c>
      <c r="E486" s="1155">
        <v>193</v>
      </c>
      <c r="G486" s="1158">
        <v>243</v>
      </c>
      <c r="H486" s="1155"/>
      <c r="I486" s="1158">
        <v>66</v>
      </c>
      <c r="L486">
        <v>56</v>
      </c>
      <c r="N486" s="1155">
        <v>43</v>
      </c>
      <c r="O486" s="1155">
        <v>63</v>
      </c>
      <c r="P486" s="1155">
        <v>29</v>
      </c>
      <c r="Q486" s="1155">
        <v>63</v>
      </c>
      <c r="R486" s="1158">
        <v>28</v>
      </c>
      <c r="S486" s="1158">
        <v>46</v>
      </c>
      <c r="T486" s="1158">
        <v>27</v>
      </c>
      <c r="U486">
        <v>27</v>
      </c>
      <c r="V486">
        <v>42</v>
      </c>
    </row>
    <row r="487" spans="2:22" ht="12.75" customHeight="1">
      <c r="B487">
        <v>40</v>
      </c>
      <c r="C487">
        <v>7</v>
      </c>
      <c r="D487" s="1155">
        <v>104</v>
      </c>
      <c r="E487" s="1155">
        <v>398</v>
      </c>
      <c r="G487" s="1158">
        <v>476</v>
      </c>
      <c r="H487" s="1155"/>
      <c r="I487" s="1158">
        <v>225</v>
      </c>
      <c r="L487">
        <v>168</v>
      </c>
      <c r="N487" s="1155">
        <v>95</v>
      </c>
      <c r="O487" s="1155">
        <v>130</v>
      </c>
      <c r="P487" s="1155">
        <v>63</v>
      </c>
      <c r="Q487" s="1155">
        <v>151</v>
      </c>
      <c r="R487" s="1158">
        <v>59</v>
      </c>
      <c r="S487" s="1158">
        <v>116</v>
      </c>
      <c r="T487" s="1158">
        <v>56</v>
      </c>
      <c r="U487">
        <v>72</v>
      </c>
      <c r="V487">
        <v>84</v>
      </c>
    </row>
    <row r="488" spans="2:22" ht="12.75" customHeight="1">
      <c r="B488">
        <v>40</v>
      </c>
      <c r="C488">
        <v>8</v>
      </c>
      <c r="D488" s="1155">
        <v>52</v>
      </c>
      <c r="E488" s="1155">
        <v>428</v>
      </c>
      <c r="G488" s="1158">
        <v>561</v>
      </c>
      <c r="H488" s="1155"/>
      <c r="I488" s="1158">
        <v>364</v>
      </c>
      <c r="L488">
        <v>338</v>
      </c>
      <c r="N488" s="1155">
        <v>106</v>
      </c>
      <c r="O488" s="1155">
        <v>154</v>
      </c>
      <c r="P488" s="1155">
        <v>77</v>
      </c>
      <c r="Q488" s="1155">
        <v>179</v>
      </c>
      <c r="R488" s="1158">
        <v>73</v>
      </c>
      <c r="S488" s="1158">
        <v>148</v>
      </c>
      <c r="T488" s="1158">
        <v>76</v>
      </c>
      <c r="U488">
        <v>95</v>
      </c>
      <c r="V488">
        <v>105</v>
      </c>
    </row>
    <row r="489" spans="2:22" ht="12.75" customHeight="1">
      <c r="B489">
        <v>40</v>
      </c>
      <c r="C489">
        <v>9</v>
      </c>
      <c r="D489" s="1155"/>
      <c r="E489" s="1158">
        <v>335</v>
      </c>
      <c r="G489" s="1158">
        <v>542</v>
      </c>
      <c r="H489" s="1155"/>
      <c r="I489" s="1158">
        <v>425</v>
      </c>
      <c r="K489">
        <v>60</v>
      </c>
      <c r="L489">
        <v>509</v>
      </c>
      <c r="N489" s="1158">
        <v>96</v>
      </c>
      <c r="O489" s="1158">
        <v>140</v>
      </c>
      <c r="P489" s="1158">
        <v>81</v>
      </c>
      <c r="Q489" s="1158">
        <v>164</v>
      </c>
      <c r="R489" s="1158">
        <v>81</v>
      </c>
      <c r="S489" s="1158">
        <v>146</v>
      </c>
      <c r="T489" s="1158">
        <v>81</v>
      </c>
      <c r="U489">
        <v>106</v>
      </c>
      <c r="V489">
        <v>119</v>
      </c>
    </row>
    <row r="490" spans="2:22" ht="12.75" customHeight="1">
      <c r="B490">
        <v>40</v>
      </c>
      <c r="C490">
        <v>10</v>
      </c>
      <c r="D490" s="1155"/>
      <c r="E490" s="1158">
        <v>200</v>
      </c>
      <c r="G490" s="1158">
        <v>442</v>
      </c>
      <c r="H490" s="1155"/>
      <c r="I490" s="1158">
        <v>417</v>
      </c>
      <c r="K490">
        <v>150</v>
      </c>
      <c r="L490">
        <v>635</v>
      </c>
      <c r="N490" s="1158">
        <v>86</v>
      </c>
      <c r="O490" s="1158">
        <v>108</v>
      </c>
      <c r="P490" s="1158">
        <v>84</v>
      </c>
      <c r="Q490" s="1158">
        <v>134</v>
      </c>
      <c r="R490" s="1158">
        <v>84</v>
      </c>
      <c r="S490" s="1158">
        <v>129</v>
      </c>
      <c r="T490" s="1158">
        <v>85</v>
      </c>
      <c r="U490">
        <v>106</v>
      </c>
      <c r="V490">
        <v>126</v>
      </c>
    </row>
    <row r="491" spans="2:22" ht="12.75" customHeight="1">
      <c r="B491">
        <v>40</v>
      </c>
      <c r="C491">
        <v>11</v>
      </c>
      <c r="D491" s="1155"/>
      <c r="E491" s="1158">
        <v>55</v>
      </c>
      <c r="G491" s="1158">
        <v>276</v>
      </c>
      <c r="H491" s="1155"/>
      <c r="I491" s="1158">
        <v>352</v>
      </c>
      <c r="K491">
        <v>229</v>
      </c>
      <c r="L491">
        <v>743</v>
      </c>
      <c r="N491" s="1158">
        <v>82</v>
      </c>
      <c r="O491" s="1158">
        <v>96</v>
      </c>
      <c r="P491" s="1158">
        <v>87</v>
      </c>
      <c r="Q491" s="1158">
        <v>110</v>
      </c>
      <c r="R491" s="1158">
        <v>88</v>
      </c>
      <c r="S491" s="1158">
        <v>112</v>
      </c>
      <c r="T491" s="1158">
        <v>91</v>
      </c>
      <c r="U491">
        <v>109</v>
      </c>
      <c r="V491">
        <v>135</v>
      </c>
    </row>
    <row r="492" spans="2:22" ht="12.75" customHeight="1">
      <c r="B492">
        <v>40</v>
      </c>
      <c r="C492">
        <v>12</v>
      </c>
      <c r="D492" s="1155"/>
      <c r="E492" s="1155"/>
      <c r="G492" s="1158">
        <v>101</v>
      </c>
      <c r="H492" s="1155">
        <v>101</v>
      </c>
      <c r="I492" s="1158">
        <v>254</v>
      </c>
      <c r="J492">
        <v>119</v>
      </c>
      <c r="K492">
        <v>257</v>
      </c>
      <c r="L492">
        <v>788</v>
      </c>
      <c r="N492" s="1158">
        <v>81</v>
      </c>
      <c r="O492" s="1158">
        <v>91</v>
      </c>
      <c r="P492" s="1158">
        <v>87</v>
      </c>
      <c r="Q492" s="1158">
        <v>99</v>
      </c>
      <c r="R492" s="1158">
        <v>99</v>
      </c>
      <c r="S492" s="1158">
        <v>104</v>
      </c>
      <c r="T492" s="1158">
        <v>98</v>
      </c>
      <c r="U492">
        <v>110</v>
      </c>
      <c r="V492">
        <v>140</v>
      </c>
    </row>
    <row r="493" spans="2:22" ht="12.75" customHeight="1">
      <c r="B493">
        <v>40</v>
      </c>
      <c r="C493">
        <v>13</v>
      </c>
      <c r="D493" s="1155"/>
      <c r="E493" s="1155"/>
      <c r="G493" s="1158">
        <v>101</v>
      </c>
      <c r="H493" s="1155">
        <v>101</v>
      </c>
      <c r="I493" s="1158">
        <v>119</v>
      </c>
      <c r="J493">
        <v>254</v>
      </c>
      <c r="K493">
        <v>257</v>
      </c>
      <c r="L493">
        <v>788</v>
      </c>
      <c r="N493" s="1158">
        <v>81</v>
      </c>
      <c r="O493" s="1158">
        <v>87</v>
      </c>
      <c r="P493" s="1158">
        <v>91</v>
      </c>
      <c r="Q493" s="1158">
        <v>99</v>
      </c>
      <c r="R493" s="1158">
        <v>99</v>
      </c>
      <c r="S493" s="1158">
        <v>98</v>
      </c>
      <c r="T493" s="1158">
        <v>104</v>
      </c>
      <c r="U493">
        <v>110</v>
      </c>
      <c r="V493">
        <v>140</v>
      </c>
    </row>
    <row r="494" spans="2:22" ht="12.75" customHeight="1">
      <c r="B494">
        <v>40</v>
      </c>
      <c r="C494">
        <v>14</v>
      </c>
      <c r="D494" s="1155"/>
      <c r="E494" s="1155"/>
      <c r="F494" s="1155">
        <v>55</v>
      </c>
      <c r="G494" s="1155"/>
      <c r="H494" s="1155">
        <v>276</v>
      </c>
      <c r="I494" s="1155"/>
      <c r="J494">
        <v>352</v>
      </c>
      <c r="K494">
        <v>229</v>
      </c>
      <c r="L494">
        <v>743</v>
      </c>
      <c r="N494" s="1158">
        <v>82</v>
      </c>
      <c r="O494" s="1158">
        <v>87</v>
      </c>
      <c r="P494" s="1158">
        <v>96</v>
      </c>
      <c r="Q494" s="1158">
        <v>88</v>
      </c>
      <c r="R494" s="1158">
        <v>110</v>
      </c>
      <c r="S494" s="1158">
        <v>91</v>
      </c>
      <c r="T494" s="1158">
        <v>112</v>
      </c>
      <c r="U494">
        <v>109</v>
      </c>
      <c r="V494">
        <v>135</v>
      </c>
    </row>
    <row r="495" spans="2:22" ht="12.75" customHeight="1">
      <c r="B495">
        <v>40</v>
      </c>
      <c r="C495">
        <v>15</v>
      </c>
      <c r="D495" s="1155"/>
      <c r="E495" s="1155"/>
      <c r="F495" s="1155">
        <v>200</v>
      </c>
      <c r="G495" s="1155"/>
      <c r="H495" s="1158">
        <v>442</v>
      </c>
      <c r="I495" s="1155"/>
      <c r="J495">
        <v>417</v>
      </c>
      <c r="K495">
        <v>150</v>
      </c>
      <c r="L495">
        <v>635</v>
      </c>
      <c r="N495" s="1158">
        <v>86</v>
      </c>
      <c r="O495" s="1158">
        <v>84</v>
      </c>
      <c r="P495" s="1158">
        <v>108</v>
      </c>
      <c r="Q495" s="1158">
        <v>84</v>
      </c>
      <c r="R495" s="1158">
        <v>134</v>
      </c>
      <c r="S495" s="1158">
        <v>85</v>
      </c>
      <c r="T495" s="1158">
        <v>129</v>
      </c>
      <c r="U495">
        <v>106</v>
      </c>
      <c r="V495">
        <v>126</v>
      </c>
    </row>
    <row r="496" spans="2:22" ht="12.75" customHeight="1">
      <c r="B496">
        <v>40</v>
      </c>
      <c r="C496">
        <v>16</v>
      </c>
      <c r="D496" s="1155"/>
      <c r="E496" s="1155"/>
      <c r="F496" s="1155">
        <v>335</v>
      </c>
      <c r="G496" s="1155"/>
      <c r="H496" s="1158">
        <v>542</v>
      </c>
      <c r="I496" s="1155"/>
      <c r="J496">
        <v>425</v>
      </c>
      <c r="K496">
        <v>60</v>
      </c>
      <c r="L496">
        <v>509</v>
      </c>
      <c r="N496" s="1158">
        <v>96</v>
      </c>
      <c r="O496" s="1158">
        <v>81</v>
      </c>
      <c r="P496" s="1158">
        <v>140</v>
      </c>
      <c r="Q496" s="1158">
        <v>81</v>
      </c>
      <c r="R496" s="1158">
        <v>164</v>
      </c>
      <c r="S496" s="1158">
        <v>81</v>
      </c>
      <c r="T496" s="1158">
        <v>146</v>
      </c>
      <c r="U496">
        <v>106</v>
      </c>
      <c r="V496">
        <v>119</v>
      </c>
    </row>
    <row r="497" spans="2:22" ht="12.75" customHeight="1">
      <c r="B497">
        <v>40</v>
      </c>
      <c r="C497">
        <v>17</v>
      </c>
      <c r="D497" s="1155">
        <v>52</v>
      </c>
      <c r="E497" s="1155"/>
      <c r="F497" s="1158">
        <v>428</v>
      </c>
      <c r="G497" s="1155"/>
      <c r="H497" s="1158">
        <v>561</v>
      </c>
      <c r="I497" s="1155"/>
      <c r="J497">
        <v>364</v>
      </c>
      <c r="L497">
        <v>338</v>
      </c>
      <c r="N497" s="1158">
        <v>106</v>
      </c>
      <c r="O497" s="1158">
        <v>77</v>
      </c>
      <c r="P497" s="1158">
        <v>154</v>
      </c>
      <c r="Q497" s="1158">
        <v>73</v>
      </c>
      <c r="R497" s="1158">
        <v>179</v>
      </c>
      <c r="S497" s="1158">
        <v>76</v>
      </c>
      <c r="T497" s="1158">
        <v>148</v>
      </c>
      <c r="U497">
        <v>95</v>
      </c>
      <c r="V497">
        <v>105</v>
      </c>
    </row>
    <row r="498" spans="2:22" ht="12.75" customHeight="1">
      <c r="B498">
        <v>40</v>
      </c>
      <c r="C498">
        <v>18</v>
      </c>
      <c r="D498" s="1155">
        <v>104</v>
      </c>
      <c r="E498" s="1155"/>
      <c r="F498" s="1158">
        <v>398</v>
      </c>
      <c r="G498" s="1155"/>
      <c r="H498" s="1158">
        <v>476</v>
      </c>
      <c r="I498" s="1155"/>
      <c r="J498">
        <v>225</v>
      </c>
      <c r="L498">
        <v>168</v>
      </c>
      <c r="N498" s="1158">
        <v>95</v>
      </c>
      <c r="O498" s="1158">
        <v>63</v>
      </c>
      <c r="P498" s="1158">
        <v>130</v>
      </c>
      <c r="Q498" s="1158">
        <v>59</v>
      </c>
      <c r="R498" s="1158">
        <v>151</v>
      </c>
      <c r="S498" s="1158">
        <v>56</v>
      </c>
      <c r="T498" s="1158">
        <v>116</v>
      </c>
      <c r="U498">
        <v>72</v>
      </c>
      <c r="V498">
        <v>84</v>
      </c>
    </row>
    <row r="499" spans="2:22" ht="12.75" customHeight="1">
      <c r="B499">
        <v>40</v>
      </c>
      <c r="C499">
        <v>19</v>
      </c>
      <c r="D499" s="1155">
        <v>105</v>
      </c>
      <c r="E499" s="1155"/>
      <c r="F499" s="1158">
        <v>193</v>
      </c>
      <c r="G499" s="1155"/>
      <c r="H499" s="1158">
        <v>243</v>
      </c>
      <c r="I499" s="1155"/>
      <c r="J499">
        <v>66</v>
      </c>
      <c r="L499">
        <v>56</v>
      </c>
      <c r="N499" s="1158">
        <v>43</v>
      </c>
      <c r="O499" s="1158">
        <v>29</v>
      </c>
      <c r="P499" s="1158">
        <v>63</v>
      </c>
      <c r="Q499" s="1158">
        <v>28</v>
      </c>
      <c r="R499" s="1158">
        <v>63</v>
      </c>
      <c r="S499" s="1158">
        <v>27</v>
      </c>
      <c r="T499" s="1158">
        <v>46</v>
      </c>
      <c r="U499">
        <v>27</v>
      </c>
      <c r="V499">
        <v>42</v>
      </c>
    </row>
    <row r="500" spans="2:22" ht="12.75" customHeight="1">
      <c r="B500">
        <v>40</v>
      </c>
      <c r="C500">
        <v>20</v>
      </c>
      <c r="D500" s="1155"/>
      <c r="E500" s="1155"/>
      <c r="F500" s="1155"/>
      <c r="G500" s="1155"/>
      <c r="H500" s="1155"/>
      <c r="I500" s="1155"/>
      <c r="N500" s="1155"/>
      <c r="O500" s="1155"/>
      <c r="P500" s="1155"/>
      <c r="Q500" s="1155"/>
      <c r="R500" s="1155"/>
      <c r="S500" s="1155"/>
      <c r="V500"/>
    </row>
    <row r="501" spans="3:22" ht="12.75" customHeight="1">
      <c r="C501">
        <v>21</v>
      </c>
      <c r="D501" s="1155"/>
      <c r="E501" s="1155"/>
      <c r="F501" s="1155"/>
      <c r="G501" s="1155"/>
      <c r="H501" s="1155"/>
      <c r="I501" s="1155"/>
      <c r="N501" s="1155"/>
      <c r="O501" s="1155"/>
      <c r="P501" s="1155"/>
      <c r="Q501" s="1155"/>
      <c r="R501" s="1155"/>
      <c r="S501" s="1155"/>
      <c r="V501"/>
    </row>
    <row r="502" spans="3:22" ht="12.75" customHeight="1">
      <c r="C502">
        <v>22</v>
      </c>
      <c r="D502" s="1155"/>
      <c r="E502" s="1155"/>
      <c r="F502" s="1155"/>
      <c r="G502" s="1155"/>
      <c r="H502" s="1155"/>
      <c r="I502" s="1155"/>
      <c r="N502" s="1155"/>
      <c r="O502" s="1155"/>
      <c r="P502" s="1155"/>
      <c r="Q502" s="1155"/>
      <c r="R502" s="1155"/>
      <c r="S502" s="1155"/>
      <c r="V502"/>
    </row>
    <row r="503" spans="3:22" ht="12.75" customHeight="1">
      <c r="C503">
        <v>23</v>
      </c>
      <c r="D503" s="1155"/>
      <c r="E503" s="1155"/>
      <c r="F503" s="1155"/>
      <c r="G503" s="1155"/>
      <c r="H503" s="1155"/>
      <c r="I503" s="1155"/>
      <c r="N503" s="1155"/>
      <c r="O503" s="1155"/>
      <c r="P503" s="1155"/>
      <c r="Q503" s="1155"/>
      <c r="R503" s="1155"/>
      <c r="S503" s="1155"/>
      <c r="V503"/>
    </row>
    <row r="504" spans="3:22" ht="12.75" customHeight="1">
      <c r="C504">
        <v>24</v>
      </c>
      <c r="D504" s="1155"/>
      <c r="E504" s="1155"/>
      <c r="F504" s="1155"/>
      <c r="G504" s="1155"/>
      <c r="H504" s="1155"/>
      <c r="I504" s="1155"/>
      <c r="N504" s="1155"/>
      <c r="O504" s="1155"/>
      <c r="P504" s="1155"/>
      <c r="Q504" s="1155"/>
      <c r="R504" s="1155"/>
      <c r="S504" s="1155"/>
      <c r="V504"/>
    </row>
    <row r="505" spans="4:22" ht="12.75" customHeight="1">
      <c r="D505" s="1155"/>
      <c r="E505" s="1155"/>
      <c r="F505" s="1155"/>
      <c r="G505" s="1155"/>
      <c r="H505" s="1155"/>
      <c r="I505" s="1155"/>
      <c r="N505" s="1155"/>
      <c r="O505" s="1155"/>
      <c r="P505" s="1155"/>
      <c r="Q505" s="1155"/>
      <c r="R505" s="1155"/>
      <c r="S505" s="1155"/>
      <c r="V505"/>
    </row>
    <row r="506" spans="3:22" ht="12.75" customHeight="1">
      <c r="C506" s="1150"/>
      <c r="D506" s="1294" t="s">
        <v>735</v>
      </c>
      <c r="E506" s="1294"/>
      <c r="F506" s="1294"/>
      <c r="G506" s="1294"/>
      <c r="H506" s="1294"/>
      <c r="I506" s="1294"/>
      <c r="J506" s="1294"/>
      <c r="K506" s="1294"/>
      <c r="L506" s="1294"/>
      <c r="N506" s="1294" t="s">
        <v>736</v>
      </c>
      <c r="O506" s="1294"/>
      <c r="P506" s="1294"/>
      <c r="Q506" s="1294"/>
      <c r="R506" s="1294"/>
      <c r="S506" s="1294"/>
      <c r="T506" s="1294"/>
      <c r="U506" s="1294"/>
      <c r="V506" s="1294"/>
    </row>
    <row r="507" spans="3:22" ht="12.75" customHeight="1">
      <c r="C507">
        <v>44</v>
      </c>
      <c r="D507" s="1148" t="s">
        <v>681</v>
      </c>
      <c r="E507" s="1147" t="s">
        <v>682</v>
      </c>
      <c r="F507" s="1147" t="s">
        <v>683</v>
      </c>
      <c r="G507" s="1147" t="s">
        <v>684</v>
      </c>
      <c r="H507" s="1149" t="s">
        <v>685</v>
      </c>
      <c r="I507" s="1147" t="s">
        <v>686</v>
      </c>
      <c r="J507" s="1147" t="s">
        <v>687</v>
      </c>
      <c r="K507" s="1147" t="s">
        <v>688</v>
      </c>
      <c r="L507" s="1147" t="s">
        <v>689</v>
      </c>
      <c r="N507" s="1148" t="s">
        <v>681</v>
      </c>
      <c r="O507" s="1147" t="s">
        <v>682</v>
      </c>
      <c r="P507" s="1147" t="s">
        <v>683</v>
      </c>
      <c r="Q507" s="1147" t="s">
        <v>684</v>
      </c>
      <c r="R507" s="1149" t="s">
        <v>685</v>
      </c>
      <c r="S507" s="1147" t="s">
        <v>686</v>
      </c>
      <c r="T507" s="1147" t="s">
        <v>687</v>
      </c>
      <c r="U507" s="1147" t="s">
        <v>688</v>
      </c>
      <c r="V507" s="1147" t="s">
        <v>689</v>
      </c>
    </row>
    <row r="508" spans="3:22" ht="12.75" customHeight="1">
      <c r="C508">
        <v>1</v>
      </c>
      <c r="D508" s="1148"/>
      <c r="E508" s="1147"/>
      <c r="F508" s="1147"/>
      <c r="G508" s="1147"/>
      <c r="H508" s="1149"/>
      <c r="I508" s="1147"/>
      <c r="J508" s="1147"/>
      <c r="K508" s="1147"/>
      <c r="L508" s="1147"/>
      <c r="N508" s="1148"/>
      <c r="O508" s="1147"/>
      <c r="P508" s="1147"/>
      <c r="Q508" s="1147"/>
      <c r="R508" s="1149"/>
      <c r="S508" s="1147"/>
      <c r="T508" s="1147"/>
      <c r="U508" s="1147"/>
      <c r="V508" s="1147"/>
    </row>
    <row r="509" spans="3:22" ht="12.75" customHeight="1">
      <c r="C509">
        <v>2</v>
      </c>
      <c r="D509" s="1148"/>
      <c r="E509" s="1147"/>
      <c r="F509" s="1147"/>
      <c r="G509" s="1147"/>
      <c r="H509" s="1149"/>
      <c r="I509" s="1147"/>
      <c r="J509" s="1147"/>
      <c r="K509" s="1147"/>
      <c r="L509" s="1147"/>
      <c r="N509" s="1148"/>
      <c r="O509" s="1147"/>
      <c r="P509" s="1147"/>
      <c r="Q509" s="1147"/>
      <c r="R509" s="1149"/>
      <c r="S509" s="1147"/>
      <c r="T509" s="1147"/>
      <c r="U509" s="1147"/>
      <c r="V509" s="1147"/>
    </row>
    <row r="510" spans="3:22" ht="12.75" customHeight="1">
      <c r="C510">
        <v>3</v>
      </c>
      <c r="D510" s="1148"/>
      <c r="E510" s="1147"/>
      <c r="F510" s="1147"/>
      <c r="G510" s="1147"/>
      <c r="H510" s="1149"/>
      <c r="I510" s="1147"/>
      <c r="J510" s="1147"/>
      <c r="K510" s="1147"/>
      <c r="L510" s="1147"/>
      <c r="N510" s="1148"/>
      <c r="O510" s="1147"/>
      <c r="P510" s="1147"/>
      <c r="Q510" s="1147"/>
      <c r="R510" s="1149"/>
      <c r="S510" s="1147"/>
      <c r="T510" s="1147"/>
      <c r="U510" s="1147"/>
      <c r="V510" s="1147"/>
    </row>
    <row r="511" spans="3:22" ht="12.75" customHeight="1">
      <c r="C511">
        <v>4</v>
      </c>
      <c r="D511" s="1148"/>
      <c r="E511" s="1147"/>
      <c r="F511" s="1147"/>
      <c r="G511" s="1147"/>
      <c r="H511" s="1149"/>
      <c r="I511" s="1147"/>
      <c r="J511" s="1147"/>
      <c r="K511" s="1147"/>
      <c r="L511" s="1147"/>
      <c r="N511" s="1148"/>
      <c r="O511" s="1147"/>
      <c r="P511" s="1147"/>
      <c r="Q511" s="1147"/>
      <c r="R511" s="1149"/>
      <c r="S511" s="1147"/>
      <c r="T511" s="1147"/>
      <c r="U511" s="1147"/>
      <c r="V511" s="1147"/>
    </row>
    <row r="512" spans="2:22" ht="12.75" customHeight="1">
      <c r="B512">
        <v>44</v>
      </c>
      <c r="C512">
        <v>5</v>
      </c>
      <c r="D512" s="1148"/>
      <c r="E512" s="1147"/>
      <c r="F512" s="1147"/>
      <c r="G512" s="1147"/>
      <c r="H512" s="1149"/>
      <c r="I512" s="1147"/>
      <c r="J512" s="1147"/>
      <c r="K512" s="1147"/>
      <c r="L512" s="1147"/>
      <c r="N512" s="1148"/>
      <c r="O512" s="1147"/>
      <c r="P512" s="1147"/>
      <c r="Q512" s="1147"/>
      <c r="R512" s="1149"/>
      <c r="S512" s="1147"/>
      <c r="T512" s="1147"/>
      <c r="U512" s="1147"/>
      <c r="V512" s="1147"/>
    </row>
    <row r="513" spans="2:22" ht="12.75" customHeight="1">
      <c r="B513">
        <v>44</v>
      </c>
      <c r="C513">
        <v>6</v>
      </c>
      <c r="D513" s="1155"/>
      <c r="E513" s="1155"/>
      <c r="G513" s="1158"/>
      <c r="H513" s="1155"/>
      <c r="I513" s="1158"/>
      <c r="N513" s="1155"/>
      <c r="O513" s="1155"/>
      <c r="P513" s="1155"/>
      <c r="Q513" s="1155"/>
      <c r="R513" s="1158"/>
      <c r="S513" s="1158"/>
      <c r="T513" s="1158"/>
      <c r="V513"/>
    </row>
    <row r="514" spans="2:22" ht="12.75" customHeight="1">
      <c r="B514">
        <v>44</v>
      </c>
      <c r="C514">
        <v>7</v>
      </c>
      <c r="D514" s="1155"/>
      <c r="E514" s="1155"/>
      <c r="G514" s="1158"/>
      <c r="H514" s="1155"/>
      <c r="I514" s="1158"/>
      <c r="N514" s="1155"/>
      <c r="O514" s="1155"/>
      <c r="P514" s="1155"/>
      <c r="Q514" s="1155"/>
      <c r="R514" s="1158"/>
      <c r="S514" s="1158"/>
      <c r="T514" s="1158"/>
      <c r="V514"/>
    </row>
    <row r="515" spans="2:22" ht="12.75" customHeight="1">
      <c r="B515">
        <v>44</v>
      </c>
      <c r="C515">
        <v>8</v>
      </c>
      <c r="D515" s="1155"/>
      <c r="E515" s="1155"/>
      <c r="G515" s="1158"/>
      <c r="H515" s="1155"/>
      <c r="I515" s="1158"/>
      <c r="N515" s="1155"/>
      <c r="O515" s="1155"/>
      <c r="P515" s="1155"/>
      <c r="Q515" s="1155"/>
      <c r="R515" s="1158"/>
      <c r="S515" s="1158"/>
      <c r="T515" s="1158"/>
      <c r="V515"/>
    </row>
    <row r="516" spans="2:22" ht="12.75" customHeight="1">
      <c r="B516">
        <v>44</v>
      </c>
      <c r="C516">
        <v>9</v>
      </c>
      <c r="D516" s="1155"/>
      <c r="E516" s="1158"/>
      <c r="G516" s="1158"/>
      <c r="H516" s="1155"/>
      <c r="I516" s="1158"/>
      <c r="N516" s="1158"/>
      <c r="O516" s="1158"/>
      <c r="P516" s="1158"/>
      <c r="Q516" s="1158"/>
      <c r="R516" s="1158"/>
      <c r="S516" s="1158"/>
      <c r="T516" s="1158"/>
      <c r="V516"/>
    </row>
    <row r="517" spans="2:22" ht="12.75" customHeight="1">
      <c r="B517">
        <v>44</v>
      </c>
      <c r="C517">
        <v>10</v>
      </c>
      <c r="D517" s="1155"/>
      <c r="E517" s="1158"/>
      <c r="G517" s="1158"/>
      <c r="H517" s="1155"/>
      <c r="I517" s="1158"/>
      <c r="N517" s="1158"/>
      <c r="O517" s="1158"/>
      <c r="P517" s="1158"/>
      <c r="Q517" s="1158"/>
      <c r="R517" s="1158"/>
      <c r="S517" s="1158"/>
      <c r="T517" s="1158"/>
      <c r="V517"/>
    </row>
    <row r="518" spans="2:22" ht="12.75" customHeight="1">
      <c r="B518">
        <v>44</v>
      </c>
      <c r="C518">
        <v>11</v>
      </c>
      <c r="D518" s="1155"/>
      <c r="E518" s="1158"/>
      <c r="G518" s="1158"/>
      <c r="H518" s="1155"/>
      <c r="I518" s="1158"/>
      <c r="N518" s="1158"/>
      <c r="O518" s="1158"/>
      <c r="P518" s="1158"/>
      <c r="Q518" s="1158"/>
      <c r="R518" s="1158"/>
      <c r="S518" s="1158"/>
      <c r="T518" s="1158"/>
      <c r="V518"/>
    </row>
    <row r="519" spans="2:22" ht="12.75" customHeight="1">
      <c r="B519">
        <v>44</v>
      </c>
      <c r="C519">
        <v>12</v>
      </c>
      <c r="D519" s="1155"/>
      <c r="E519" s="1155"/>
      <c r="G519" s="1158"/>
      <c r="H519" s="1155"/>
      <c r="I519" s="1158"/>
      <c r="N519" s="1158"/>
      <c r="O519" s="1158"/>
      <c r="P519" s="1158"/>
      <c r="Q519" s="1158"/>
      <c r="R519" s="1158"/>
      <c r="S519" s="1158"/>
      <c r="T519" s="1158"/>
      <c r="V519"/>
    </row>
    <row r="520" spans="2:22" ht="12.75" customHeight="1">
      <c r="B520">
        <v>44</v>
      </c>
      <c r="C520">
        <v>13</v>
      </c>
      <c r="D520" s="1155"/>
      <c r="E520" s="1155"/>
      <c r="G520" s="1158"/>
      <c r="H520" s="1155"/>
      <c r="I520" s="1158"/>
      <c r="N520" s="1158"/>
      <c r="O520" s="1158"/>
      <c r="P520" s="1158"/>
      <c r="Q520" s="1158"/>
      <c r="R520" s="1158"/>
      <c r="S520" s="1158"/>
      <c r="T520" s="1158"/>
      <c r="V520"/>
    </row>
    <row r="521" spans="2:22" ht="12.75" customHeight="1">
      <c r="B521">
        <v>44</v>
      </c>
      <c r="C521">
        <v>14</v>
      </c>
      <c r="D521" s="1155"/>
      <c r="E521" s="1155"/>
      <c r="F521" s="1155"/>
      <c r="G521" s="1155"/>
      <c r="H521" s="1155"/>
      <c r="I521" s="1155"/>
      <c r="N521" s="1158"/>
      <c r="O521" s="1158"/>
      <c r="P521" s="1158"/>
      <c r="Q521" s="1158"/>
      <c r="R521" s="1158"/>
      <c r="S521" s="1158"/>
      <c r="T521" s="1158"/>
      <c r="V521"/>
    </row>
    <row r="522" spans="2:22" ht="12.75" customHeight="1">
      <c r="B522">
        <v>44</v>
      </c>
      <c r="C522">
        <v>15</v>
      </c>
      <c r="D522" s="1155"/>
      <c r="E522" s="1155"/>
      <c r="F522" s="1155"/>
      <c r="G522" s="1155"/>
      <c r="H522" s="1158"/>
      <c r="I522" s="1155"/>
      <c r="N522" s="1158"/>
      <c r="O522" s="1158"/>
      <c r="P522" s="1158"/>
      <c r="Q522" s="1158"/>
      <c r="R522" s="1158"/>
      <c r="S522" s="1158"/>
      <c r="T522" s="1158"/>
      <c r="V522"/>
    </row>
    <row r="523" spans="2:22" ht="12.75" customHeight="1">
      <c r="B523">
        <v>44</v>
      </c>
      <c r="C523">
        <v>16</v>
      </c>
      <c r="D523" s="1155"/>
      <c r="E523" s="1155"/>
      <c r="F523" s="1155"/>
      <c r="G523" s="1155"/>
      <c r="H523" s="1158"/>
      <c r="I523" s="1155"/>
      <c r="N523" s="1158"/>
      <c r="O523" s="1158"/>
      <c r="P523" s="1158"/>
      <c r="Q523" s="1158"/>
      <c r="R523" s="1158"/>
      <c r="S523" s="1158"/>
      <c r="T523" s="1158"/>
      <c r="V523"/>
    </row>
    <row r="524" spans="2:22" ht="12.75" customHeight="1">
      <c r="B524">
        <v>44</v>
      </c>
      <c r="C524">
        <v>17</v>
      </c>
      <c r="D524" s="1155"/>
      <c r="E524" s="1155"/>
      <c r="F524" s="1158"/>
      <c r="G524" s="1155"/>
      <c r="H524" s="1158"/>
      <c r="I524" s="1155"/>
      <c r="N524" s="1158"/>
      <c r="O524" s="1158"/>
      <c r="P524" s="1158"/>
      <c r="Q524" s="1158"/>
      <c r="R524" s="1158"/>
      <c r="S524" s="1158"/>
      <c r="T524" s="1158"/>
      <c r="V524"/>
    </row>
    <row r="525" spans="2:22" ht="12.75" customHeight="1">
      <c r="B525">
        <v>44</v>
      </c>
      <c r="C525">
        <v>18</v>
      </c>
      <c r="D525" s="1155"/>
      <c r="E525" s="1155"/>
      <c r="F525" s="1158"/>
      <c r="G525" s="1155"/>
      <c r="H525" s="1158"/>
      <c r="I525" s="1155"/>
      <c r="N525" s="1158"/>
      <c r="O525" s="1158"/>
      <c r="P525" s="1158"/>
      <c r="Q525" s="1158"/>
      <c r="R525" s="1158"/>
      <c r="S525" s="1158"/>
      <c r="T525" s="1158"/>
      <c r="V525"/>
    </row>
    <row r="526" spans="2:22" ht="12.75" customHeight="1">
      <c r="B526">
        <v>44</v>
      </c>
      <c r="C526">
        <v>19</v>
      </c>
      <c r="D526" s="1155"/>
      <c r="E526" s="1155"/>
      <c r="F526" s="1158"/>
      <c r="G526" s="1155"/>
      <c r="H526" s="1158"/>
      <c r="I526" s="1155"/>
      <c r="N526" s="1158"/>
      <c r="O526" s="1158"/>
      <c r="P526" s="1158"/>
      <c r="Q526" s="1158"/>
      <c r="R526" s="1158"/>
      <c r="S526" s="1158"/>
      <c r="T526" s="1158"/>
      <c r="V526"/>
    </row>
    <row r="527" spans="2:22" ht="12.75" customHeight="1">
      <c r="B527">
        <v>44</v>
      </c>
      <c r="C527">
        <v>20</v>
      </c>
      <c r="D527" s="1155"/>
      <c r="E527" s="1155"/>
      <c r="F527" s="1158"/>
      <c r="G527" s="1155"/>
      <c r="H527" s="1158"/>
      <c r="I527" s="1155"/>
      <c r="N527" s="1158"/>
      <c r="O527" s="1158"/>
      <c r="P527" s="1158"/>
      <c r="Q527" s="1158"/>
      <c r="R527" s="1158"/>
      <c r="S527" s="1158"/>
      <c r="T527" s="1158"/>
      <c r="V527"/>
    </row>
    <row r="528" spans="3:22" ht="12.75" customHeight="1">
      <c r="C528">
        <v>21</v>
      </c>
      <c r="D528" s="1155"/>
      <c r="E528" s="1155"/>
      <c r="F528" s="1158"/>
      <c r="G528" s="1155"/>
      <c r="H528" s="1158"/>
      <c r="I528" s="1155"/>
      <c r="N528" s="1158"/>
      <c r="O528" s="1158"/>
      <c r="P528" s="1158"/>
      <c r="Q528" s="1158"/>
      <c r="R528" s="1158"/>
      <c r="S528" s="1158"/>
      <c r="T528" s="1158"/>
      <c r="V528"/>
    </row>
    <row r="529" spans="3:22" ht="12.75" customHeight="1">
      <c r="C529">
        <v>22</v>
      </c>
      <c r="D529" s="1155"/>
      <c r="E529" s="1155"/>
      <c r="F529" s="1158"/>
      <c r="G529" s="1155"/>
      <c r="H529" s="1158"/>
      <c r="I529" s="1155"/>
      <c r="N529" s="1158"/>
      <c r="O529" s="1158"/>
      <c r="P529" s="1158"/>
      <c r="Q529" s="1158"/>
      <c r="R529" s="1158"/>
      <c r="S529" s="1158"/>
      <c r="T529" s="1158"/>
      <c r="V529"/>
    </row>
    <row r="530" spans="3:22" ht="12.75" customHeight="1">
      <c r="C530">
        <v>23</v>
      </c>
      <c r="D530" s="1155"/>
      <c r="E530" s="1155"/>
      <c r="F530" s="1158"/>
      <c r="G530" s="1155"/>
      <c r="H530" s="1158"/>
      <c r="I530" s="1155"/>
      <c r="N530" s="1158"/>
      <c r="O530" s="1158"/>
      <c r="P530" s="1158"/>
      <c r="Q530" s="1158"/>
      <c r="R530" s="1158"/>
      <c r="S530" s="1158"/>
      <c r="T530" s="1158"/>
      <c r="V530"/>
    </row>
    <row r="531" spans="3:22" ht="12.75" customHeight="1">
      <c r="C531">
        <v>24</v>
      </c>
      <c r="D531" s="1155"/>
      <c r="E531" s="1155"/>
      <c r="F531" s="1158"/>
      <c r="G531" s="1155"/>
      <c r="H531" s="1158"/>
      <c r="I531" s="1155"/>
      <c r="N531" s="1158"/>
      <c r="O531" s="1158"/>
      <c r="P531" s="1158"/>
      <c r="Q531" s="1158"/>
      <c r="R531" s="1158"/>
      <c r="S531" s="1158"/>
      <c r="T531" s="1158"/>
      <c r="V531"/>
    </row>
    <row r="532" spans="4:9" ht="12.75" customHeight="1">
      <c r="D532" s="1155"/>
      <c r="E532" s="1155"/>
      <c r="F532" s="1155"/>
      <c r="G532" s="1155"/>
      <c r="H532" s="1155"/>
      <c r="I532" s="1155"/>
    </row>
    <row r="533" spans="3:22" ht="12.75" customHeight="1">
      <c r="C533" s="1150"/>
      <c r="D533" s="1294" t="s">
        <v>735</v>
      </c>
      <c r="E533" s="1294"/>
      <c r="F533" s="1294"/>
      <c r="G533" s="1294"/>
      <c r="H533" s="1294"/>
      <c r="I533" s="1294"/>
      <c r="J533" s="1294"/>
      <c r="K533" s="1294"/>
      <c r="L533" s="1294"/>
      <c r="N533" s="1294" t="s">
        <v>736</v>
      </c>
      <c r="O533" s="1294"/>
      <c r="P533" s="1294"/>
      <c r="Q533" s="1294"/>
      <c r="R533" s="1294"/>
      <c r="S533" s="1294"/>
      <c r="T533" s="1294"/>
      <c r="U533" s="1294"/>
      <c r="V533" s="1294"/>
    </row>
    <row r="534" spans="3:22" ht="12.75" customHeight="1">
      <c r="C534">
        <v>48</v>
      </c>
      <c r="D534" s="1148" t="s">
        <v>681</v>
      </c>
      <c r="E534" s="1147" t="s">
        <v>682</v>
      </c>
      <c r="F534" s="1147" t="s">
        <v>683</v>
      </c>
      <c r="G534" s="1147" t="s">
        <v>684</v>
      </c>
      <c r="H534" s="1149" t="s">
        <v>685</v>
      </c>
      <c r="I534" s="1147" t="s">
        <v>686</v>
      </c>
      <c r="J534" s="1147" t="s">
        <v>687</v>
      </c>
      <c r="K534" s="1147" t="s">
        <v>688</v>
      </c>
      <c r="L534" s="1147" t="s">
        <v>689</v>
      </c>
      <c r="N534" s="1148" t="s">
        <v>681</v>
      </c>
      <c r="O534" s="1147" t="s">
        <v>682</v>
      </c>
      <c r="P534" s="1147" t="s">
        <v>683</v>
      </c>
      <c r="Q534" s="1147" t="s">
        <v>684</v>
      </c>
      <c r="R534" s="1149" t="s">
        <v>685</v>
      </c>
      <c r="S534" s="1147" t="s">
        <v>686</v>
      </c>
      <c r="T534" s="1147" t="s">
        <v>687</v>
      </c>
      <c r="U534" s="1147" t="s">
        <v>688</v>
      </c>
      <c r="V534" s="1147" t="s">
        <v>689</v>
      </c>
    </row>
    <row r="535" spans="3:22" ht="12.75" customHeight="1">
      <c r="C535">
        <v>1</v>
      </c>
      <c r="D535" s="1148"/>
      <c r="E535" s="1147"/>
      <c r="F535" s="1147"/>
      <c r="G535" s="1147"/>
      <c r="H535" s="1149"/>
      <c r="I535" s="1147"/>
      <c r="J535" s="1147"/>
      <c r="K535" s="1147"/>
      <c r="L535" s="1147"/>
      <c r="N535" s="1148"/>
      <c r="O535" s="1147"/>
      <c r="P535" s="1147"/>
      <c r="Q535" s="1147"/>
      <c r="R535" s="1149"/>
      <c r="S535" s="1147"/>
      <c r="T535" s="1147"/>
      <c r="U535" s="1147"/>
      <c r="V535" s="1147"/>
    </row>
    <row r="536" spans="3:22" ht="12.75" customHeight="1">
      <c r="C536">
        <v>2</v>
      </c>
      <c r="D536" s="1148"/>
      <c r="E536" s="1147"/>
      <c r="F536" s="1147"/>
      <c r="G536" s="1147"/>
      <c r="H536" s="1149"/>
      <c r="I536" s="1147"/>
      <c r="J536" s="1147"/>
      <c r="K536" s="1147"/>
      <c r="L536" s="1147"/>
      <c r="N536" s="1148"/>
      <c r="O536" s="1147"/>
      <c r="P536" s="1147"/>
      <c r="Q536" s="1147"/>
      <c r="R536" s="1149"/>
      <c r="S536" s="1147"/>
      <c r="T536" s="1147"/>
      <c r="U536" s="1147"/>
      <c r="V536" s="1147"/>
    </row>
    <row r="537" spans="3:22" ht="12.75" customHeight="1">
      <c r="C537">
        <v>3</v>
      </c>
      <c r="D537" s="1148"/>
      <c r="E537" s="1147"/>
      <c r="F537" s="1147"/>
      <c r="G537" s="1147"/>
      <c r="H537" s="1149"/>
      <c r="I537" s="1147"/>
      <c r="J537" s="1147"/>
      <c r="K537" s="1147"/>
      <c r="L537" s="1147"/>
      <c r="N537" s="1148"/>
      <c r="O537" s="1147"/>
      <c r="P537" s="1147"/>
      <c r="Q537" s="1147"/>
      <c r="R537" s="1149"/>
      <c r="S537" s="1147"/>
      <c r="T537" s="1147"/>
      <c r="U537" s="1147"/>
      <c r="V537" s="1147"/>
    </row>
    <row r="538" spans="3:22" ht="12.75" customHeight="1">
      <c r="C538">
        <v>4</v>
      </c>
      <c r="D538" s="1148"/>
      <c r="E538" s="1147"/>
      <c r="F538" s="1147"/>
      <c r="G538" s="1147"/>
      <c r="H538" s="1149"/>
      <c r="I538" s="1147"/>
      <c r="J538" s="1147"/>
      <c r="K538" s="1147"/>
      <c r="L538" s="1147"/>
      <c r="N538" s="1148"/>
      <c r="O538" s="1147"/>
      <c r="P538" s="1147"/>
      <c r="Q538" s="1147"/>
      <c r="R538" s="1149"/>
      <c r="S538" s="1147"/>
      <c r="T538" s="1147"/>
      <c r="U538" s="1147"/>
      <c r="V538" s="1147"/>
    </row>
    <row r="539" spans="2:22" ht="12.75" customHeight="1">
      <c r="B539">
        <v>48</v>
      </c>
      <c r="C539">
        <v>5</v>
      </c>
      <c r="D539" s="1148"/>
      <c r="E539" s="1147"/>
      <c r="F539" s="1147"/>
      <c r="G539" s="1147"/>
      <c r="H539" s="1149"/>
      <c r="I539" s="1147"/>
      <c r="J539" s="1147"/>
      <c r="K539" s="1147"/>
      <c r="L539" s="1147"/>
      <c r="N539" s="1148"/>
      <c r="O539" s="1147"/>
      <c r="P539" s="1147"/>
      <c r="Q539" s="1147"/>
      <c r="R539" s="1149"/>
      <c r="S539" s="1147"/>
      <c r="T539" s="1147"/>
      <c r="U539" s="1147"/>
      <c r="V539" s="1147"/>
    </row>
    <row r="540" spans="2:22" ht="12.75" customHeight="1">
      <c r="B540">
        <v>48</v>
      </c>
      <c r="C540">
        <v>6</v>
      </c>
      <c r="D540" s="1155"/>
      <c r="E540" s="1155"/>
      <c r="G540" s="1158"/>
      <c r="H540" s="1155"/>
      <c r="I540" s="1158"/>
      <c r="N540" s="1155"/>
      <c r="O540" s="1155"/>
      <c r="P540" s="1155"/>
      <c r="Q540" s="1155"/>
      <c r="R540" s="1158"/>
      <c r="S540" s="1158"/>
      <c r="T540" s="1158"/>
      <c r="V540"/>
    </row>
    <row r="541" spans="2:22" ht="12.75" customHeight="1">
      <c r="B541">
        <v>48</v>
      </c>
      <c r="C541">
        <v>7</v>
      </c>
      <c r="D541" s="1155"/>
      <c r="E541" s="1155"/>
      <c r="G541" s="1158"/>
      <c r="H541" s="1155"/>
      <c r="I541" s="1158"/>
      <c r="N541" s="1155"/>
      <c r="O541" s="1155"/>
      <c r="P541" s="1155"/>
      <c r="Q541" s="1155"/>
      <c r="R541" s="1158"/>
      <c r="S541" s="1158"/>
      <c r="T541" s="1158"/>
      <c r="V541"/>
    </row>
    <row r="542" spans="2:22" ht="12.75" customHeight="1">
      <c r="B542">
        <v>48</v>
      </c>
      <c r="C542">
        <v>8</v>
      </c>
      <c r="D542" s="1155"/>
      <c r="E542" s="1155"/>
      <c r="G542" s="1158"/>
      <c r="H542" s="1155"/>
      <c r="I542" s="1158"/>
      <c r="N542" s="1155"/>
      <c r="O542" s="1155"/>
      <c r="P542" s="1155"/>
      <c r="Q542" s="1155"/>
      <c r="R542" s="1158"/>
      <c r="S542" s="1158"/>
      <c r="T542" s="1158"/>
      <c r="V542"/>
    </row>
    <row r="543" spans="2:22" ht="12.75" customHeight="1">
      <c r="B543">
        <v>48</v>
      </c>
      <c r="C543">
        <v>9</v>
      </c>
      <c r="D543" s="1155"/>
      <c r="E543" s="1158"/>
      <c r="G543" s="1158"/>
      <c r="H543" s="1155"/>
      <c r="I543" s="1158"/>
      <c r="N543" s="1158"/>
      <c r="O543" s="1158"/>
      <c r="P543" s="1158"/>
      <c r="Q543" s="1158"/>
      <c r="R543" s="1158"/>
      <c r="S543" s="1158"/>
      <c r="T543" s="1158"/>
      <c r="V543"/>
    </row>
    <row r="544" spans="2:22" ht="12.75" customHeight="1">
      <c r="B544">
        <v>48</v>
      </c>
      <c r="C544">
        <v>10</v>
      </c>
      <c r="D544" s="1155"/>
      <c r="E544" s="1158"/>
      <c r="G544" s="1158"/>
      <c r="H544" s="1155"/>
      <c r="I544" s="1158"/>
      <c r="N544" s="1158"/>
      <c r="O544" s="1158"/>
      <c r="P544" s="1158"/>
      <c r="Q544" s="1158"/>
      <c r="R544" s="1158"/>
      <c r="S544" s="1158"/>
      <c r="T544" s="1158"/>
      <c r="V544"/>
    </row>
    <row r="545" spans="2:22" ht="12.75" customHeight="1">
      <c r="B545">
        <v>48</v>
      </c>
      <c r="C545">
        <v>11</v>
      </c>
      <c r="D545" s="1155"/>
      <c r="E545" s="1158"/>
      <c r="G545" s="1158"/>
      <c r="H545" s="1155"/>
      <c r="I545" s="1158"/>
      <c r="N545" s="1158"/>
      <c r="O545" s="1158"/>
      <c r="P545" s="1158"/>
      <c r="Q545" s="1158"/>
      <c r="R545" s="1158"/>
      <c r="S545" s="1158"/>
      <c r="T545" s="1158"/>
      <c r="V545"/>
    </row>
    <row r="546" spans="2:22" ht="12.75" customHeight="1">
      <c r="B546">
        <v>48</v>
      </c>
      <c r="C546">
        <v>12</v>
      </c>
      <c r="D546" s="1155"/>
      <c r="E546" s="1155"/>
      <c r="G546" s="1158"/>
      <c r="H546" s="1155"/>
      <c r="I546" s="1158"/>
      <c r="N546" s="1158"/>
      <c r="O546" s="1158"/>
      <c r="P546" s="1158"/>
      <c r="Q546" s="1158"/>
      <c r="R546" s="1158"/>
      <c r="S546" s="1158"/>
      <c r="T546" s="1158"/>
      <c r="V546"/>
    </row>
    <row r="547" spans="2:22" ht="12.75" customHeight="1">
      <c r="B547">
        <v>48</v>
      </c>
      <c r="C547">
        <v>13</v>
      </c>
      <c r="D547" s="1155"/>
      <c r="E547" s="1155"/>
      <c r="G547" s="1158"/>
      <c r="H547" s="1155"/>
      <c r="I547" s="1158"/>
      <c r="N547" s="1158"/>
      <c r="O547" s="1158"/>
      <c r="P547" s="1158"/>
      <c r="Q547" s="1158"/>
      <c r="R547" s="1158"/>
      <c r="S547" s="1158"/>
      <c r="T547" s="1158"/>
      <c r="V547"/>
    </row>
    <row r="548" spans="2:22" ht="12.75" customHeight="1">
      <c r="B548">
        <v>48</v>
      </c>
      <c r="C548">
        <v>14</v>
      </c>
      <c r="D548" s="1155"/>
      <c r="E548" s="1155"/>
      <c r="F548" s="1155"/>
      <c r="G548" s="1155"/>
      <c r="H548" s="1155"/>
      <c r="I548" s="1155"/>
      <c r="N548" s="1158"/>
      <c r="O548" s="1158"/>
      <c r="P548" s="1158"/>
      <c r="Q548" s="1158"/>
      <c r="R548" s="1158"/>
      <c r="S548" s="1158"/>
      <c r="T548" s="1158"/>
      <c r="V548"/>
    </row>
    <row r="549" spans="2:22" ht="12.75" customHeight="1">
      <c r="B549">
        <v>48</v>
      </c>
      <c r="C549">
        <v>15</v>
      </c>
      <c r="D549" s="1155"/>
      <c r="E549" s="1155"/>
      <c r="F549" s="1155"/>
      <c r="G549" s="1155"/>
      <c r="H549" s="1158"/>
      <c r="I549" s="1155"/>
      <c r="N549" s="1158"/>
      <c r="O549" s="1158"/>
      <c r="P549" s="1158"/>
      <c r="Q549" s="1158"/>
      <c r="R549" s="1158"/>
      <c r="S549" s="1158"/>
      <c r="T549" s="1158"/>
      <c r="V549"/>
    </row>
    <row r="550" spans="2:22" ht="12.75" customHeight="1">
      <c r="B550">
        <v>48</v>
      </c>
      <c r="C550">
        <v>16</v>
      </c>
      <c r="D550" s="1155"/>
      <c r="E550" s="1155"/>
      <c r="F550" s="1155"/>
      <c r="G550" s="1155"/>
      <c r="H550" s="1158"/>
      <c r="I550" s="1155"/>
      <c r="N550" s="1158"/>
      <c r="O550" s="1158"/>
      <c r="P550" s="1158"/>
      <c r="Q550" s="1158"/>
      <c r="R550" s="1158"/>
      <c r="S550" s="1158"/>
      <c r="T550" s="1158"/>
      <c r="V550"/>
    </row>
    <row r="551" spans="2:22" ht="12.75" customHeight="1">
      <c r="B551">
        <v>48</v>
      </c>
      <c r="C551">
        <v>17</v>
      </c>
      <c r="D551" s="1155"/>
      <c r="E551" s="1155"/>
      <c r="F551" s="1158"/>
      <c r="G551" s="1155"/>
      <c r="H551" s="1158"/>
      <c r="I551" s="1155"/>
      <c r="N551" s="1158"/>
      <c r="O551" s="1158"/>
      <c r="P551" s="1158"/>
      <c r="Q551" s="1158"/>
      <c r="R551" s="1158"/>
      <c r="S551" s="1158"/>
      <c r="T551" s="1158"/>
      <c r="V551"/>
    </row>
    <row r="552" spans="2:22" ht="12.75" customHeight="1">
      <c r="B552">
        <v>48</v>
      </c>
      <c r="C552">
        <v>18</v>
      </c>
      <c r="D552" s="1155"/>
      <c r="E552" s="1155"/>
      <c r="F552" s="1158"/>
      <c r="G552" s="1155"/>
      <c r="H552" s="1158"/>
      <c r="I552" s="1155"/>
      <c r="N552" s="1158"/>
      <c r="O552" s="1158"/>
      <c r="P552" s="1158"/>
      <c r="Q552" s="1158"/>
      <c r="R552" s="1158"/>
      <c r="S552" s="1158"/>
      <c r="T552" s="1158"/>
      <c r="V552"/>
    </row>
    <row r="553" spans="2:22" ht="12.75" customHeight="1">
      <c r="B553">
        <v>48</v>
      </c>
      <c r="C553">
        <v>19</v>
      </c>
      <c r="D553" s="1155"/>
      <c r="E553" s="1155"/>
      <c r="F553" s="1158"/>
      <c r="G553" s="1155"/>
      <c r="H553" s="1158"/>
      <c r="I553" s="1155"/>
      <c r="N553" s="1158"/>
      <c r="O553" s="1158"/>
      <c r="P553" s="1158"/>
      <c r="Q553" s="1158"/>
      <c r="R553" s="1158"/>
      <c r="S553" s="1158"/>
      <c r="T553" s="1158"/>
      <c r="V553"/>
    </row>
    <row r="554" spans="2:22" ht="12.75" customHeight="1">
      <c r="B554">
        <v>48</v>
      </c>
      <c r="C554">
        <v>20</v>
      </c>
      <c r="D554" s="1155"/>
      <c r="E554" s="1155"/>
      <c r="F554" s="1158"/>
      <c r="G554" s="1155"/>
      <c r="H554" s="1158"/>
      <c r="I554" s="1155"/>
      <c r="N554" s="1158"/>
      <c r="O554" s="1158"/>
      <c r="P554" s="1158"/>
      <c r="Q554" s="1158"/>
      <c r="R554" s="1158"/>
      <c r="S554" s="1158"/>
      <c r="T554" s="1158"/>
      <c r="V554"/>
    </row>
    <row r="555" spans="3:22" ht="12.75" customHeight="1">
      <c r="C555">
        <v>21</v>
      </c>
      <c r="D555" s="1155"/>
      <c r="E555" s="1155"/>
      <c r="F555" s="1158"/>
      <c r="G555" s="1155"/>
      <c r="H555" s="1158"/>
      <c r="I555" s="1155"/>
      <c r="N555" s="1158"/>
      <c r="O555" s="1158"/>
      <c r="P555" s="1158"/>
      <c r="Q555" s="1158"/>
      <c r="R555" s="1158"/>
      <c r="S555" s="1158"/>
      <c r="T555" s="1158"/>
      <c r="V555"/>
    </row>
    <row r="556" spans="3:22" ht="12.75" customHeight="1">
      <c r="C556">
        <v>22</v>
      </c>
      <c r="D556" s="1155"/>
      <c r="E556" s="1155"/>
      <c r="F556" s="1158"/>
      <c r="G556" s="1155"/>
      <c r="H556" s="1158"/>
      <c r="I556" s="1155"/>
      <c r="N556" s="1158"/>
      <c r="O556" s="1158"/>
      <c r="P556" s="1158"/>
      <c r="Q556" s="1158"/>
      <c r="R556" s="1158"/>
      <c r="S556" s="1158"/>
      <c r="T556" s="1158"/>
      <c r="V556"/>
    </row>
    <row r="557" spans="3:22" ht="12.75" customHeight="1">
      <c r="C557">
        <v>23</v>
      </c>
      <c r="D557" s="1155"/>
      <c r="E557" s="1155"/>
      <c r="F557" s="1158"/>
      <c r="G557" s="1155"/>
      <c r="H557" s="1158"/>
      <c r="I557" s="1155"/>
      <c r="N557" s="1158"/>
      <c r="O557" s="1158"/>
      <c r="P557" s="1158"/>
      <c r="Q557" s="1158"/>
      <c r="R557" s="1158"/>
      <c r="S557" s="1158"/>
      <c r="T557" s="1158"/>
      <c r="V557"/>
    </row>
    <row r="558" spans="3:22" ht="12.75" customHeight="1">
      <c r="C558">
        <v>24</v>
      </c>
      <c r="D558" s="1155"/>
      <c r="E558" s="1155"/>
      <c r="F558" s="1158"/>
      <c r="G558" s="1155"/>
      <c r="H558" s="1158"/>
      <c r="I558" s="1155"/>
      <c r="N558" s="1158"/>
      <c r="O558" s="1158"/>
      <c r="P558" s="1158"/>
      <c r="Q558" s="1158"/>
      <c r="R558" s="1158"/>
      <c r="S558" s="1158"/>
      <c r="T558" s="1158"/>
      <c r="V558"/>
    </row>
    <row r="559" spans="4:9" ht="12.75" customHeight="1">
      <c r="D559" s="1155"/>
      <c r="E559" s="1155"/>
      <c r="F559" s="1155"/>
      <c r="G559" s="1155"/>
      <c r="H559" s="1155"/>
      <c r="I559" s="1155"/>
    </row>
    <row r="560" spans="3:22" ht="12.75" customHeight="1">
      <c r="C560" s="1150"/>
      <c r="D560" s="1294" t="s">
        <v>735</v>
      </c>
      <c r="E560" s="1294"/>
      <c r="F560" s="1294"/>
      <c r="G560" s="1294"/>
      <c r="H560" s="1294"/>
      <c r="I560" s="1294"/>
      <c r="J560" s="1294"/>
      <c r="K560" s="1294"/>
      <c r="L560" s="1294"/>
      <c r="N560" s="1294" t="s">
        <v>736</v>
      </c>
      <c r="O560" s="1294"/>
      <c r="P560" s="1294"/>
      <c r="Q560" s="1294"/>
      <c r="R560" s="1294"/>
      <c r="S560" s="1294"/>
      <c r="T560" s="1294"/>
      <c r="U560" s="1294"/>
      <c r="V560" s="1294"/>
    </row>
    <row r="561" spans="3:22" ht="12.75" customHeight="1">
      <c r="C561">
        <v>52</v>
      </c>
      <c r="D561" s="1148" t="s">
        <v>681</v>
      </c>
      <c r="E561" s="1147" t="s">
        <v>682</v>
      </c>
      <c r="F561" s="1147" t="s">
        <v>683</v>
      </c>
      <c r="G561" s="1147" t="s">
        <v>684</v>
      </c>
      <c r="H561" s="1149" t="s">
        <v>685</v>
      </c>
      <c r="I561" s="1147" t="s">
        <v>686</v>
      </c>
      <c r="J561" s="1147" t="s">
        <v>687</v>
      </c>
      <c r="K561" s="1147" t="s">
        <v>688</v>
      </c>
      <c r="L561" s="1147" t="s">
        <v>689</v>
      </c>
      <c r="N561" s="1148" t="s">
        <v>681</v>
      </c>
      <c r="O561" s="1147" t="s">
        <v>682</v>
      </c>
      <c r="P561" s="1147" t="s">
        <v>683</v>
      </c>
      <c r="Q561" s="1147" t="s">
        <v>684</v>
      </c>
      <c r="R561" s="1149" t="s">
        <v>685</v>
      </c>
      <c r="S561" s="1147" t="s">
        <v>686</v>
      </c>
      <c r="T561" s="1147" t="s">
        <v>687</v>
      </c>
      <c r="U561" s="1147" t="s">
        <v>688</v>
      </c>
      <c r="V561" s="1147" t="s">
        <v>689</v>
      </c>
    </row>
    <row r="562" spans="3:22" ht="12.75" customHeight="1">
      <c r="C562">
        <v>1</v>
      </c>
      <c r="D562" s="1148"/>
      <c r="E562" s="1147"/>
      <c r="F562" s="1147"/>
      <c r="G562" s="1147"/>
      <c r="H562" s="1149"/>
      <c r="I562" s="1147"/>
      <c r="J562" s="1147"/>
      <c r="K562" s="1147"/>
      <c r="L562" s="1147"/>
      <c r="N562" s="1148"/>
      <c r="O562" s="1147"/>
      <c r="P562" s="1147"/>
      <c r="Q562" s="1147"/>
      <c r="R562" s="1149"/>
      <c r="S562" s="1147"/>
      <c r="T562" s="1147"/>
      <c r="U562" s="1147"/>
      <c r="V562" s="1147"/>
    </row>
    <row r="563" spans="3:22" ht="12.75" customHeight="1">
      <c r="C563">
        <v>2</v>
      </c>
      <c r="D563" s="1148"/>
      <c r="E563" s="1147"/>
      <c r="F563" s="1147"/>
      <c r="G563" s="1147"/>
      <c r="H563" s="1149"/>
      <c r="I563" s="1147"/>
      <c r="J563" s="1147"/>
      <c r="K563" s="1147"/>
      <c r="L563" s="1147"/>
      <c r="N563" s="1148"/>
      <c r="O563" s="1147"/>
      <c r="P563" s="1147"/>
      <c r="Q563" s="1147"/>
      <c r="R563" s="1149"/>
      <c r="S563" s="1147"/>
      <c r="T563" s="1147"/>
      <c r="U563" s="1147"/>
      <c r="V563" s="1147"/>
    </row>
    <row r="564" spans="3:22" ht="12.75" customHeight="1">
      <c r="C564">
        <v>3</v>
      </c>
      <c r="D564" s="1148"/>
      <c r="E564" s="1147"/>
      <c r="F564" s="1147"/>
      <c r="G564" s="1147"/>
      <c r="H564" s="1149"/>
      <c r="I564" s="1147"/>
      <c r="J564" s="1147"/>
      <c r="K564" s="1147"/>
      <c r="L564" s="1147"/>
      <c r="N564" s="1148"/>
      <c r="O564" s="1147"/>
      <c r="P564" s="1147"/>
      <c r="Q564" s="1147"/>
      <c r="R564" s="1149"/>
      <c r="S564" s="1147"/>
      <c r="T564" s="1147"/>
      <c r="U564" s="1147"/>
      <c r="V564" s="1147"/>
    </row>
    <row r="565" spans="3:22" ht="12.75" customHeight="1">
      <c r="C565">
        <v>4</v>
      </c>
      <c r="D565" s="1148"/>
      <c r="E565" s="1147"/>
      <c r="F565" s="1147"/>
      <c r="G565" s="1147"/>
      <c r="H565" s="1149"/>
      <c r="I565" s="1147"/>
      <c r="J565" s="1147"/>
      <c r="K565" s="1147"/>
      <c r="L565" s="1147"/>
      <c r="N565" s="1148"/>
      <c r="O565" s="1147"/>
      <c r="P565" s="1147"/>
      <c r="Q565" s="1147"/>
      <c r="R565" s="1149"/>
      <c r="S565" s="1147"/>
      <c r="T565" s="1147"/>
      <c r="U565" s="1147"/>
      <c r="V565" s="1147"/>
    </row>
    <row r="566" spans="2:22" ht="12.75" customHeight="1">
      <c r="B566">
        <v>52</v>
      </c>
      <c r="C566">
        <v>5</v>
      </c>
      <c r="D566" s="1148"/>
      <c r="E566" s="1147"/>
      <c r="F566" s="1147"/>
      <c r="G566" s="1147"/>
      <c r="H566" s="1149"/>
      <c r="I566" s="1147"/>
      <c r="J566" s="1147"/>
      <c r="K566" s="1147"/>
      <c r="L566" s="1147"/>
      <c r="N566" s="1148"/>
      <c r="O566" s="1147"/>
      <c r="P566" s="1147"/>
      <c r="Q566" s="1147"/>
      <c r="R566" s="1149"/>
      <c r="S566" s="1147"/>
      <c r="T566" s="1147"/>
      <c r="U566" s="1147"/>
      <c r="V566" s="1147"/>
    </row>
    <row r="567" spans="2:22" ht="12.75" customHeight="1">
      <c r="B567">
        <v>52</v>
      </c>
      <c r="C567">
        <v>6</v>
      </c>
      <c r="D567" s="1155"/>
      <c r="E567" s="1155"/>
      <c r="G567" s="1158"/>
      <c r="H567" s="1155"/>
      <c r="I567" s="1158"/>
      <c r="N567" s="1155"/>
      <c r="O567" s="1155"/>
      <c r="P567" s="1155"/>
      <c r="Q567" s="1155"/>
      <c r="R567" s="1158"/>
      <c r="S567" s="1158"/>
      <c r="T567" s="1158"/>
      <c r="V567"/>
    </row>
    <row r="568" spans="2:22" ht="12.75" customHeight="1">
      <c r="B568">
        <v>52</v>
      </c>
      <c r="C568">
        <v>7</v>
      </c>
      <c r="D568" s="1155"/>
      <c r="E568" s="1155"/>
      <c r="G568" s="1158"/>
      <c r="H568" s="1155"/>
      <c r="I568" s="1158"/>
      <c r="N568" s="1155"/>
      <c r="O568" s="1155"/>
      <c r="P568" s="1155"/>
      <c r="Q568" s="1155"/>
      <c r="R568" s="1158"/>
      <c r="S568" s="1158"/>
      <c r="T568" s="1158"/>
      <c r="V568"/>
    </row>
    <row r="569" spans="2:22" ht="12.75" customHeight="1">
      <c r="B569">
        <v>52</v>
      </c>
      <c r="C569">
        <v>8</v>
      </c>
      <c r="D569" s="1155"/>
      <c r="E569" s="1155"/>
      <c r="G569" s="1158"/>
      <c r="H569" s="1155"/>
      <c r="I569" s="1158"/>
      <c r="N569" s="1155"/>
      <c r="O569" s="1155"/>
      <c r="P569" s="1155"/>
      <c r="Q569" s="1155"/>
      <c r="R569" s="1158"/>
      <c r="S569" s="1158"/>
      <c r="T569" s="1158"/>
      <c r="V569"/>
    </row>
    <row r="570" spans="2:22" ht="12.75" customHeight="1">
      <c r="B570">
        <v>52</v>
      </c>
      <c r="C570">
        <v>9</v>
      </c>
      <c r="D570" s="1155"/>
      <c r="E570" s="1158"/>
      <c r="G570" s="1158"/>
      <c r="H570" s="1155"/>
      <c r="I570" s="1158"/>
      <c r="N570" s="1158"/>
      <c r="O570" s="1158"/>
      <c r="P570" s="1158"/>
      <c r="Q570" s="1158"/>
      <c r="R570" s="1158"/>
      <c r="S570" s="1158"/>
      <c r="T570" s="1158"/>
      <c r="V570"/>
    </row>
    <row r="571" spans="2:22" ht="12.75" customHeight="1">
      <c r="B571">
        <v>52</v>
      </c>
      <c r="C571">
        <v>10</v>
      </c>
      <c r="D571" s="1155"/>
      <c r="E571" s="1158"/>
      <c r="G571" s="1158"/>
      <c r="H571" s="1155"/>
      <c r="I571" s="1158"/>
      <c r="N571" s="1158"/>
      <c r="O571" s="1158"/>
      <c r="P571" s="1158"/>
      <c r="Q571" s="1158"/>
      <c r="R571" s="1158"/>
      <c r="S571" s="1158"/>
      <c r="T571" s="1158"/>
      <c r="V571"/>
    </row>
    <row r="572" spans="2:22" ht="12.75" customHeight="1">
      <c r="B572">
        <v>52</v>
      </c>
      <c r="C572">
        <v>11</v>
      </c>
      <c r="D572" s="1155"/>
      <c r="E572" s="1158"/>
      <c r="G572" s="1158"/>
      <c r="H572" s="1155"/>
      <c r="I572" s="1158"/>
      <c r="N572" s="1158"/>
      <c r="O572" s="1158"/>
      <c r="P572" s="1158"/>
      <c r="Q572" s="1158"/>
      <c r="R572" s="1158"/>
      <c r="S572" s="1158"/>
      <c r="T572" s="1158"/>
      <c r="V572"/>
    </row>
    <row r="573" spans="2:22" ht="12.75" customHeight="1">
      <c r="B573">
        <v>52</v>
      </c>
      <c r="C573">
        <v>12</v>
      </c>
      <c r="D573" s="1155"/>
      <c r="E573" s="1155"/>
      <c r="G573" s="1158"/>
      <c r="H573" s="1155"/>
      <c r="I573" s="1158"/>
      <c r="N573" s="1158"/>
      <c r="O573" s="1158"/>
      <c r="P573" s="1158"/>
      <c r="Q573" s="1158"/>
      <c r="R573" s="1158"/>
      <c r="S573" s="1158"/>
      <c r="T573" s="1158"/>
      <c r="V573"/>
    </row>
    <row r="574" spans="2:22" ht="12.75" customHeight="1">
      <c r="B574">
        <v>52</v>
      </c>
      <c r="C574">
        <v>13</v>
      </c>
      <c r="D574" s="1155"/>
      <c r="E574" s="1155"/>
      <c r="G574" s="1158"/>
      <c r="H574" s="1155"/>
      <c r="I574" s="1158"/>
      <c r="N574" s="1158"/>
      <c r="O574" s="1158"/>
      <c r="P574" s="1158"/>
      <c r="Q574" s="1158"/>
      <c r="R574" s="1158"/>
      <c r="S574" s="1158"/>
      <c r="T574" s="1158"/>
      <c r="V574"/>
    </row>
    <row r="575" spans="2:22" ht="12.75" customHeight="1">
      <c r="B575">
        <v>52</v>
      </c>
      <c r="C575">
        <v>14</v>
      </c>
      <c r="D575" s="1155"/>
      <c r="E575" s="1155"/>
      <c r="F575" s="1155"/>
      <c r="G575" s="1155"/>
      <c r="H575" s="1155"/>
      <c r="I575" s="1155"/>
      <c r="N575" s="1158"/>
      <c r="O575" s="1158"/>
      <c r="P575" s="1158"/>
      <c r="Q575" s="1158"/>
      <c r="R575" s="1158"/>
      <c r="S575" s="1158"/>
      <c r="T575" s="1158"/>
      <c r="V575"/>
    </row>
    <row r="576" spans="2:22" ht="12.75" customHeight="1">
      <c r="B576">
        <v>52</v>
      </c>
      <c r="C576">
        <v>15</v>
      </c>
      <c r="D576" s="1155"/>
      <c r="E576" s="1155"/>
      <c r="F576" s="1155"/>
      <c r="G576" s="1155"/>
      <c r="H576" s="1158"/>
      <c r="I576" s="1155"/>
      <c r="N576" s="1158"/>
      <c r="O576" s="1158"/>
      <c r="P576" s="1158"/>
      <c r="Q576" s="1158"/>
      <c r="R576" s="1158"/>
      <c r="S576" s="1158"/>
      <c r="T576" s="1158"/>
      <c r="V576"/>
    </row>
    <row r="577" spans="2:22" ht="12.75" customHeight="1">
      <c r="B577">
        <v>52</v>
      </c>
      <c r="C577">
        <v>16</v>
      </c>
      <c r="D577" s="1155"/>
      <c r="E577" s="1155"/>
      <c r="F577" s="1155"/>
      <c r="G577" s="1155"/>
      <c r="H577" s="1158"/>
      <c r="I577" s="1155"/>
      <c r="N577" s="1158"/>
      <c r="O577" s="1158"/>
      <c r="P577" s="1158"/>
      <c r="Q577" s="1158"/>
      <c r="R577" s="1158"/>
      <c r="S577" s="1158"/>
      <c r="T577" s="1158"/>
      <c r="V577"/>
    </row>
    <row r="578" spans="2:22" ht="12.75" customHeight="1">
      <c r="B578">
        <v>52</v>
      </c>
      <c r="C578">
        <v>17</v>
      </c>
      <c r="D578" s="1155"/>
      <c r="E578" s="1155"/>
      <c r="F578" s="1158"/>
      <c r="G578" s="1155"/>
      <c r="H578" s="1158"/>
      <c r="I578" s="1155"/>
      <c r="N578" s="1158"/>
      <c r="O578" s="1158"/>
      <c r="P578" s="1158"/>
      <c r="Q578" s="1158"/>
      <c r="R578" s="1158"/>
      <c r="S578" s="1158"/>
      <c r="T578" s="1158"/>
      <c r="V578"/>
    </row>
    <row r="579" spans="2:22" ht="12.75" customHeight="1">
      <c r="B579">
        <v>52</v>
      </c>
      <c r="C579">
        <v>18</v>
      </c>
      <c r="D579" s="1155"/>
      <c r="E579" s="1155"/>
      <c r="F579" s="1158"/>
      <c r="G579" s="1155"/>
      <c r="H579" s="1158"/>
      <c r="I579" s="1155"/>
      <c r="N579" s="1158"/>
      <c r="O579" s="1158"/>
      <c r="P579" s="1158"/>
      <c r="Q579" s="1158"/>
      <c r="R579" s="1158"/>
      <c r="S579" s="1158"/>
      <c r="T579" s="1158"/>
      <c r="V579"/>
    </row>
    <row r="580" spans="2:22" ht="12.75" customHeight="1">
      <c r="B580">
        <v>52</v>
      </c>
      <c r="C580">
        <v>19</v>
      </c>
      <c r="D580" s="1155"/>
      <c r="E580" s="1155"/>
      <c r="F580" s="1158"/>
      <c r="G580" s="1155"/>
      <c r="H580" s="1158"/>
      <c r="I580" s="1155"/>
      <c r="N580" s="1158"/>
      <c r="O580" s="1158"/>
      <c r="P580" s="1158"/>
      <c r="Q580" s="1158"/>
      <c r="R580" s="1158"/>
      <c r="S580" s="1158"/>
      <c r="T580" s="1158"/>
      <c r="V580"/>
    </row>
    <row r="581" spans="2:22" ht="12.75" customHeight="1">
      <c r="B581">
        <v>52</v>
      </c>
      <c r="C581">
        <v>20</v>
      </c>
      <c r="D581" s="1155"/>
      <c r="E581" s="1155"/>
      <c r="F581" s="1158"/>
      <c r="G581" s="1155"/>
      <c r="H581" s="1158"/>
      <c r="I581" s="1155"/>
      <c r="N581" s="1158"/>
      <c r="O581" s="1158"/>
      <c r="P581" s="1158"/>
      <c r="Q581" s="1158"/>
      <c r="R581" s="1158"/>
      <c r="S581" s="1158"/>
      <c r="T581" s="1158"/>
      <c r="V581"/>
    </row>
    <row r="582" spans="3:22" ht="12.75" customHeight="1">
      <c r="C582">
        <v>21</v>
      </c>
      <c r="D582" s="1155"/>
      <c r="E582" s="1155"/>
      <c r="F582" s="1158"/>
      <c r="G582" s="1155"/>
      <c r="H582" s="1158"/>
      <c r="I582" s="1155"/>
      <c r="N582" s="1158"/>
      <c r="O582" s="1158"/>
      <c r="P582" s="1158"/>
      <c r="Q582" s="1158"/>
      <c r="R582" s="1158"/>
      <c r="S582" s="1158"/>
      <c r="T582" s="1158"/>
      <c r="V582"/>
    </row>
    <row r="583" spans="3:22" ht="12.75" customHeight="1">
      <c r="C583">
        <v>22</v>
      </c>
      <c r="D583" s="1155"/>
      <c r="E583" s="1155"/>
      <c r="F583" s="1158"/>
      <c r="G583" s="1155"/>
      <c r="H583" s="1158"/>
      <c r="I583" s="1155"/>
      <c r="N583" s="1158"/>
      <c r="O583" s="1158"/>
      <c r="P583" s="1158"/>
      <c r="Q583" s="1158"/>
      <c r="R583" s="1158"/>
      <c r="S583" s="1158"/>
      <c r="T583" s="1158"/>
      <c r="V583"/>
    </row>
    <row r="584" spans="3:22" ht="12.75" customHeight="1">
      <c r="C584">
        <v>23</v>
      </c>
      <c r="D584" s="1155"/>
      <c r="E584" s="1155"/>
      <c r="F584" s="1158"/>
      <c r="G584" s="1155"/>
      <c r="H584" s="1158"/>
      <c r="I584" s="1155"/>
      <c r="N584" s="1158"/>
      <c r="O584" s="1158"/>
      <c r="P584" s="1158"/>
      <c r="Q584" s="1158"/>
      <c r="R584" s="1158"/>
      <c r="S584" s="1158"/>
      <c r="T584" s="1158"/>
      <c r="V584"/>
    </row>
    <row r="585" spans="3:22" ht="12.75" customHeight="1">
      <c r="C585">
        <v>24</v>
      </c>
      <c r="D585" s="1155"/>
      <c r="E585" s="1155"/>
      <c r="F585" s="1158"/>
      <c r="G585" s="1155"/>
      <c r="H585" s="1158"/>
      <c r="I585" s="1155"/>
      <c r="N585" s="1158"/>
      <c r="O585" s="1158"/>
      <c r="P585" s="1158"/>
      <c r="Q585" s="1158"/>
      <c r="R585" s="1158"/>
      <c r="S585" s="1158"/>
      <c r="T585" s="1158"/>
      <c r="V585"/>
    </row>
    <row r="586" spans="4:9" ht="12.75" customHeight="1">
      <c r="D586" s="1155"/>
      <c r="E586" s="1155"/>
      <c r="F586" s="1155"/>
      <c r="G586" s="1155"/>
      <c r="H586" s="1155"/>
      <c r="I586" s="1155"/>
    </row>
    <row r="587" spans="3:22" ht="12.75" customHeight="1">
      <c r="C587" s="1150"/>
      <c r="D587" s="1294" t="s">
        <v>735</v>
      </c>
      <c r="E587" s="1294"/>
      <c r="F587" s="1294"/>
      <c r="G587" s="1294"/>
      <c r="H587" s="1294"/>
      <c r="I587" s="1294"/>
      <c r="J587" s="1294"/>
      <c r="K587" s="1294"/>
      <c r="L587" s="1294"/>
      <c r="N587" s="1294" t="s">
        <v>736</v>
      </c>
      <c r="O587" s="1294"/>
      <c r="P587" s="1294"/>
      <c r="Q587" s="1294"/>
      <c r="R587" s="1294"/>
      <c r="S587" s="1294"/>
      <c r="T587" s="1294"/>
      <c r="U587" s="1294"/>
      <c r="V587" s="1294"/>
    </row>
    <row r="588" spans="3:22" ht="12.75" customHeight="1">
      <c r="C588">
        <v>56</v>
      </c>
      <c r="D588" s="1148" t="s">
        <v>681</v>
      </c>
      <c r="E588" s="1147" t="s">
        <v>682</v>
      </c>
      <c r="F588" s="1147" t="s">
        <v>683</v>
      </c>
      <c r="G588" s="1147" t="s">
        <v>684</v>
      </c>
      <c r="H588" s="1149" t="s">
        <v>685</v>
      </c>
      <c r="I588" s="1147" t="s">
        <v>686</v>
      </c>
      <c r="J588" s="1147" t="s">
        <v>687</v>
      </c>
      <c r="K588" s="1147" t="s">
        <v>688</v>
      </c>
      <c r="L588" s="1147" t="s">
        <v>689</v>
      </c>
      <c r="N588" s="1148" t="s">
        <v>681</v>
      </c>
      <c r="O588" s="1147" t="s">
        <v>682</v>
      </c>
      <c r="P588" s="1147" t="s">
        <v>683</v>
      </c>
      <c r="Q588" s="1147" t="s">
        <v>684</v>
      </c>
      <c r="R588" s="1149" t="s">
        <v>685</v>
      </c>
      <c r="S588" s="1147" t="s">
        <v>686</v>
      </c>
      <c r="T588" s="1147" t="s">
        <v>687</v>
      </c>
      <c r="U588" s="1147" t="s">
        <v>688</v>
      </c>
      <c r="V588" s="1147" t="s">
        <v>689</v>
      </c>
    </row>
    <row r="589" spans="3:22" ht="12.75" customHeight="1">
      <c r="C589">
        <v>1</v>
      </c>
      <c r="D589" s="1148"/>
      <c r="E589" s="1147"/>
      <c r="F589" s="1147"/>
      <c r="G589" s="1147"/>
      <c r="H589" s="1149"/>
      <c r="I589" s="1147"/>
      <c r="J589" s="1147"/>
      <c r="K589" s="1147"/>
      <c r="L589" s="1147"/>
      <c r="N589" s="1148"/>
      <c r="O589" s="1147"/>
      <c r="P589" s="1147"/>
      <c r="Q589" s="1147"/>
      <c r="R589" s="1149"/>
      <c r="S589" s="1147"/>
      <c r="T589" s="1147"/>
      <c r="U589" s="1147"/>
      <c r="V589" s="1147"/>
    </row>
    <row r="590" spans="3:22" ht="12.75" customHeight="1">
      <c r="C590">
        <v>2</v>
      </c>
      <c r="D590" s="1148"/>
      <c r="E590" s="1147"/>
      <c r="F590" s="1147"/>
      <c r="G590" s="1147"/>
      <c r="H590" s="1149"/>
      <c r="I590" s="1147"/>
      <c r="J590" s="1147"/>
      <c r="K590" s="1147"/>
      <c r="L590" s="1147"/>
      <c r="N590" s="1148"/>
      <c r="O590" s="1147"/>
      <c r="P590" s="1147"/>
      <c r="Q590" s="1147"/>
      <c r="R590" s="1149"/>
      <c r="S590" s="1147"/>
      <c r="T590" s="1147"/>
      <c r="U590" s="1147"/>
      <c r="V590" s="1147"/>
    </row>
    <row r="591" spans="3:22" ht="12.75" customHeight="1">
      <c r="C591">
        <v>3</v>
      </c>
      <c r="D591" s="1148"/>
      <c r="E591" s="1147"/>
      <c r="F591" s="1147"/>
      <c r="G591" s="1147"/>
      <c r="H591" s="1149"/>
      <c r="I591" s="1147"/>
      <c r="J591" s="1147"/>
      <c r="K591" s="1147"/>
      <c r="L591" s="1147"/>
      <c r="N591" s="1148"/>
      <c r="O591" s="1147"/>
      <c r="P591" s="1147"/>
      <c r="Q591" s="1147"/>
      <c r="R591" s="1149"/>
      <c r="S591" s="1147"/>
      <c r="T591" s="1147"/>
      <c r="U591" s="1147"/>
      <c r="V591" s="1147"/>
    </row>
    <row r="592" spans="3:22" ht="12.75" customHeight="1">
      <c r="C592">
        <v>4</v>
      </c>
      <c r="D592" s="1148"/>
      <c r="E592" s="1147"/>
      <c r="F592" s="1147"/>
      <c r="G592" s="1147"/>
      <c r="H592" s="1149"/>
      <c r="I592" s="1147"/>
      <c r="J592" s="1147"/>
      <c r="K592" s="1147"/>
      <c r="L592" s="1147"/>
      <c r="N592" s="1148"/>
      <c r="O592" s="1147"/>
      <c r="P592" s="1147"/>
      <c r="Q592" s="1147"/>
      <c r="R592" s="1149"/>
      <c r="S592" s="1147"/>
      <c r="T592" s="1147"/>
      <c r="U592" s="1147"/>
      <c r="V592" s="1147"/>
    </row>
    <row r="593" spans="2:26" ht="12.75" customHeight="1">
      <c r="B593">
        <v>56</v>
      </c>
      <c r="C593" s="40">
        <v>5</v>
      </c>
      <c r="D593" s="1160">
        <v>136</v>
      </c>
      <c r="E593" s="40">
        <v>187</v>
      </c>
      <c r="F593" s="40"/>
      <c r="G593" s="40">
        <v>258</v>
      </c>
      <c r="H593" s="1161"/>
      <c r="I593" s="40">
        <v>23</v>
      </c>
      <c r="J593" s="40"/>
      <c r="K593" s="40"/>
      <c r="L593" s="40">
        <v>62</v>
      </c>
      <c r="M593" s="40"/>
      <c r="N593" s="1163">
        <v>26</v>
      </c>
      <c r="O593" s="1162">
        <v>44</v>
      </c>
      <c r="P593" s="1162">
        <v>16</v>
      </c>
      <c r="Q593" s="1162">
        <v>36</v>
      </c>
      <c r="R593" s="1162">
        <v>17</v>
      </c>
      <c r="S593" s="1162">
        <v>27</v>
      </c>
      <c r="T593" s="1162">
        <v>17</v>
      </c>
      <c r="U593" s="1162">
        <v>16</v>
      </c>
      <c r="V593" s="1162">
        <v>27</v>
      </c>
      <c r="W593" s="40"/>
      <c r="X593" s="40"/>
      <c r="Y593" s="40"/>
      <c r="Z593" s="40"/>
    </row>
    <row r="594" spans="2:26" ht="12.75" customHeight="1">
      <c r="B594">
        <v>56</v>
      </c>
      <c r="C594" s="40">
        <v>6</v>
      </c>
      <c r="D594" s="1160">
        <v>159</v>
      </c>
      <c r="E594" s="1160">
        <v>391</v>
      </c>
      <c r="F594" s="40"/>
      <c r="G594" s="830">
        <v>482</v>
      </c>
      <c r="H594" s="1160"/>
      <c r="I594" s="830">
        <v>184</v>
      </c>
      <c r="J594" s="40"/>
      <c r="K594" s="40"/>
      <c r="L594" s="40">
        <v>140</v>
      </c>
      <c r="M594" s="40"/>
      <c r="N594" s="1163">
        <v>76</v>
      </c>
      <c r="O594" s="1163">
        <v>95</v>
      </c>
      <c r="P594" s="1163">
        <v>41</v>
      </c>
      <c r="Q594" s="1163">
        <v>101</v>
      </c>
      <c r="R594" s="1164">
        <v>41</v>
      </c>
      <c r="S594" s="1164">
        <v>77</v>
      </c>
      <c r="T594" s="1164">
        <v>37</v>
      </c>
      <c r="U594" s="1162">
        <v>46</v>
      </c>
      <c r="V594" s="1162">
        <v>56</v>
      </c>
      <c r="W594" s="40"/>
      <c r="X594" s="40"/>
      <c r="Y594" s="40"/>
      <c r="Z594" s="40"/>
    </row>
    <row r="595" spans="2:26" ht="12.75" customHeight="1">
      <c r="B595">
        <v>56</v>
      </c>
      <c r="C595" s="40">
        <v>7</v>
      </c>
      <c r="D595" s="1160">
        <v>64</v>
      </c>
      <c r="E595" s="1160">
        <v>460</v>
      </c>
      <c r="F595" s="40"/>
      <c r="G595" s="830">
        <v>594</v>
      </c>
      <c r="H595" s="1160"/>
      <c r="I595" s="830">
        <v>346</v>
      </c>
      <c r="J595" s="40"/>
      <c r="K595" s="40"/>
      <c r="L595" s="40">
        <v>237</v>
      </c>
      <c r="M595" s="40"/>
      <c r="N595" s="1163">
        <v>90</v>
      </c>
      <c r="O595" s="1163">
        <v>125</v>
      </c>
      <c r="P595" s="1163">
        <v>59</v>
      </c>
      <c r="Q595" s="1163">
        <v>156</v>
      </c>
      <c r="R595" s="1164">
        <v>58</v>
      </c>
      <c r="S595" s="1164">
        <v>121</v>
      </c>
      <c r="T595" s="1164">
        <v>56</v>
      </c>
      <c r="U595" s="1162">
        <v>78</v>
      </c>
      <c r="V595" s="1162">
        <v>77</v>
      </c>
      <c r="W595" s="40"/>
      <c r="X595" s="40"/>
      <c r="Y595" s="40"/>
      <c r="Z595" s="40"/>
    </row>
    <row r="596" spans="2:26" ht="12.75" customHeight="1">
      <c r="B596">
        <v>56</v>
      </c>
      <c r="C596" s="40">
        <v>8</v>
      </c>
      <c r="D596" s="1160"/>
      <c r="E596" s="1160">
        <v>414</v>
      </c>
      <c r="F596" s="40"/>
      <c r="G596" s="830">
        <v>621</v>
      </c>
      <c r="H596" s="1160"/>
      <c r="I596" s="830">
        <v>488</v>
      </c>
      <c r="J596" s="40"/>
      <c r="K596" s="40">
        <v>83</v>
      </c>
      <c r="L596" s="40">
        <v>359</v>
      </c>
      <c r="M596" s="40"/>
      <c r="N596" s="1163">
        <v>87</v>
      </c>
      <c r="O596" s="1163">
        <v>133</v>
      </c>
      <c r="P596" s="1163">
        <v>72</v>
      </c>
      <c r="Q596" s="1163">
        <v>165</v>
      </c>
      <c r="R596" s="1164">
        <v>65</v>
      </c>
      <c r="S596" s="1164">
        <v>142</v>
      </c>
      <c r="T596" s="1164">
        <v>72</v>
      </c>
      <c r="U596" s="1162">
        <v>101</v>
      </c>
      <c r="V596" s="1162">
        <v>96</v>
      </c>
      <c r="W596" s="40"/>
      <c r="X596" s="40"/>
      <c r="Y596" s="40"/>
      <c r="Z596" s="40"/>
    </row>
    <row r="597" spans="2:26" ht="12.75" customHeight="1">
      <c r="B597">
        <v>56</v>
      </c>
      <c r="C597" s="40">
        <v>9</v>
      </c>
      <c r="D597" s="1160"/>
      <c r="E597" s="830">
        <v>260</v>
      </c>
      <c r="F597" s="40"/>
      <c r="G597" s="830">
        <v>579</v>
      </c>
      <c r="H597" s="1160"/>
      <c r="I597" s="830">
        <v>551</v>
      </c>
      <c r="J597" s="40"/>
      <c r="K597" s="40">
        <v>207</v>
      </c>
      <c r="L597" s="40">
        <v>482</v>
      </c>
      <c r="M597" s="40"/>
      <c r="N597" s="1164">
        <v>83</v>
      </c>
      <c r="O597" s="1164">
        <v>119</v>
      </c>
      <c r="P597" s="1164">
        <v>76</v>
      </c>
      <c r="Q597" s="1164">
        <v>155</v>
      </c>
      <c r="R597" s="1164">
        <v>74</v>
      </c>
      <c r="S597" s="1164">
        <v>145</v>
      </c>
      <c r="T597" s="1164">
        <v>86</v>
      </c>
      <c r="U597" s="1162">
        <v>114</v>
      </c>
      <c r="V597" s="1162">
        <v>105</v>
      </c>
      <c r="W597" s="40"/>
      <c r="X597" s="40"/>
      <c r="Y597" s="40"/>
      <c r="Z597" s="40"/>
    </row>
    <row r="598" spans="2:26" ht="12.75" customHeight="1">
      <c r="B598">
        <v>56</v>
      </c>
      <c r="C598" s="40">
        <v>10</v>
      </c>
      <c r="D598" s="1160"/>
      <c r="E598" s="830">
        <v>93</v>
      </c>
      <c r="F598" s="40"/>
      <c r="G598" s="830">
        <v>461</v>
      </c>
      <c r="H598" s="1160"/>
      <c r="I598" s="830">
        <v>551</v>
      </c>
      <c r="J598" s="40">
        <v>91</v>
      </c>
      <c r="K598" s="40">
        <v>327</v>
      </c>
      <c r="L598" s="40">
        <v>572</v>
      </c>
      <c r="M598" s="40"/>
      <c r="N598" s="1164">
        <v>78</v>
      </c>
      <c r="O598" s="1164">
        <v>95</v>
      </c>
      <c r="P598" s="1164">
        <v>77</v>
      </c>
      <c r="Q598" s="1164">
        <v>121</v>
      </c>
      <c r="R598" s="1164">
        <v>76</v>
      </c>
      <c r="S598" s="1164">
        <v>138</v>
      </c>
      <c r="T598" s="1164">
        <v>92</v>
      </c>
      <c r="U598" s="1162">
        <v>120</v>
      </c>
      <c r="V598" s="1162">
        <v>119</v>
      </c>
      <c r="W598" s="40"/>
      <c r="X598" s="40"/>
      <c r="Y598" s="40"/>
      <c r="Z598" s="40"/>
    </row>
    <row r="599" spans="2:26" ht="12.75" customHeight="1">
      <c r="B599">
        <v>56</v>
      </c>
      <c r="C599" s="40">
        <v>11</v>
      </c>
      <c r="D599" s="1160"/>
      <c r="E599" s="830"/>
      <c r="F599" s="40"/>
      <c r="G599" s="830">
        <v>283</v>
      </c>
      <c r="H599" s="1160"/>
      <c r="I599" s="830">
        <v>502</v>
      </c>
      <c r="J599" s="40">
        <v>260</v>
      </c>
      <c r="K599" s="40">
        <v>428</v>
      </c>
      <c r="L599" s="40">
        <v>650</v>
      </c>
      <c r="M599" s="40"/>
      <c r="N599" s="1164">
        <v>77</v>
      </c>
      <c r="O599" s="1164">
        <v>84</v>
      </c>
      <c r="P599" s="1164">
        <v>78</v>
      </c>
      <c r="Q599" s="1164">
        <v>102</v>
      </c>
      <c r="R599" s="1164">
        <v>79</v>
      </c>
      <c r="S599" s="1164">
        <v>124</v>
      </c>
      <c r="T599" s="1164">
        <v>98</v>
      </c>
      <c r="U599" s="1162">
        <v>122</v>
      </c>
      <c r="V599" s="1162">
        <v>122</v>
      </c>
      <c r="W599" s="40"/>
      <c r="X599" s="40"/>
      <c r="Y599" s="40"/>
      <c r="Z599" s="40"/>
    </row>
    <row r="600" spans="2:26" ht="12.75" customHeight="1">
      <c r="B600">
        <v>56</v>
      </c>
      <c r="C600" s="40">
        <v>12</v>
      </c>
      <c r="D600" s="1160"/>
      <c r="E600" s="1160"/>
      <c r="F600" s="40"/>
      <c r="G600" s="830">
        <v>105</v>
      </c>
      <c r="H600" s="1160"/>
      <c r="I600" s="830">
        <v>413</v>
      </c>
      <c r="J600" s="40">
        <v>413</v>
      </c>
      <c r="K600" s="40">
        <v>479</v>
      </c>
      <c r="L600" s="40">
        <v>691</v>
      </c>
      <c r="M600" s="40"/>
      <c r="N600" s="1164">
        <v>74</v>
      </c>
      <c r="O600" s="1164">
        <v>80</v>
      </c>
      <c r="P600" s="1164">
        <v>79</v>
      </c>
      <c r="Q600" s="1164">
        <v>91</v>
      </c>
      <c r="R600" s="1164">
        <v>85</v>
      </c>
      <c r="S600" s="1164">
        <v>107</v>
      </c>
      <c r="T600" s="1164">
        <v>102</v>
      </c>
      <c r="U600" s="1162">
        <v>124</v>
      </c>
      <c r="V600" s="1162">
        <v>126</v>
      </c>
      <c r="W600" s="40"/>
      <c r="X600" s="40"/>
      <c r="Y600" s="40"/>
      <c r="Z600" s="40"/>
    </row>
    <row r="601" spans="2:26" ht="12.75" customHeight="1">
      <c r="B601">
        <v>56</v>
      </c>
      <c r="C601" s="40">
        <v>13</v>
      </c>
      <c r="D601" s="1160"/>
      <c r="E601" s="1160"/>
      <c r="F601" s="40"/>
      <c r="G601" s="830"/>
      <c r="H601" s="1160">
        <v>105</v>
      </c>
      <c r="I601" s="830">
        <v>260</v>
      </c>
      <c r="J601" s="40">
        <v>502</v>
      </c>
      <c r="K601" s="40">
        <v>479</v>
      </c>
      <c r="L601" s="40">
        <v>691</v>
      </c>
      <c r="M601" s="40"/>
      <c r="N601" s="1164">
        <v>74</v>
      </c>
      <c r="O601" s="1164">
        <v>79</v>
      </c>
      <c r="P601" s="1164">
        <v>80</v>
      </c>
      <c r="Q601" s="1164">
        <v>85</v>
      </c>
      <c r="R601" s="1164">
        <v>91</v>
      </c>
      <c r="S601" s="1164">
        <v>102</v>
      </c>
      <c r="T601" s="1164">
        <v>107</v>
      </c>
      <c r="U601" s="1162">
        <v>124</v>
      </c>
      <c r="V601" s="1162">
        <v>126</v>
      </c>
      <c r="W601" s="40"/>
      <c r="X601" s="40"/>
      <c r="Y601" s="40"/>
      <c r="Z601" s="40"/>
    </row>
    <row r="602" spans="2:26" ht="12.75" customHeight="1">
      <c r="B602">
        <v>56</v>
      </c>
      <c r="C602" s="40">
        <v>14</v>
      </c>
      <c r="D602" s="1160"/>
      <c r="E602" s="1160"/>
      <c r="F602" s="1160"/>
      <c r="G602" s="1160"/>
      <c r="H602" s="1160">
        <v>283</v>
      </c>
      <c r="I602" s="1160">
        <v>91</v>
      </c>
      <c r="J602" s="40">
        <v>551</v>
      </c>
      <c r="K602" s="40">
        <v>428</v>
      </c>
      <c r="L602" s="40">
        <v>650</v>
      </c>
      <c r="M602" s="40"/>
      <c r="N602" s="1164">
        <v>77</v>
      </c>
      <c r="O602" s="1164">
        <v>78</v>
      </c>
      <c r="P602" s="1164">
        <v>84</v>
      </c>
      <c r="Q602" s="1164">
        <v>79</v>
      </c>
      <c r="R602" s="1164">
        <v>102</v>
      </c>
      <c r="S602" s="1164">
        <v>98</v>
      </c>
      <c r="T602" s="1164">
        <v>124</v>
      </c>
      <c r="U602" s="1162">
        <v>122</v>
      </c>
      <c r="V602" s="1162">
        <v>122</v>
      </c>
      <c r="W602" s="40"/>
      <c r="X602" s="40"/>
      <c r="Y602" s="40"/>
      <c r="Z602" s="40"/>
    </row>
    <row r="603" spans="2:26" ht="12.75" customHeight="1">
      <c r="B603">
        <v>56</v>
      </c>
      <c r="C603" s="40">
        <v>15</v>
      </c>
      <c r="D603" s="1160"/>
      <c r="E603" s="1160"/>
      <c r="F603" s="1160">
        <v>93</v>
      </c>
      <c r="G603" s="1160"/>
      <c r="H603" s="830">
        <v>461</v>
      </c>
      <c r="I603" s="1160"/>
      <c r="J603" s="40">
        <v>551</v>
      </c>
      <c r="K603" s="40">
        <v>327</v>
      </c>
      <c r="L603" s="40">
        <v>572</v>
      </c>
      <c r="M603" s="40"/>
      <c r="N603" s="1164">
        <v>78</v>
      </c>
      <c r="O603" s="1164">
        <v>77</v>
      </c>
      <c r="P603" s="1164">
        <v>95</v>
      </c>
      <c r="Q603" s="1164">
        <v>76</v>
      </c>
      <c r="R603" s="1164">
        <v>121</v>
      </c>
      <c r="S603" s="1164">
        <v>92</v>
      </c>
      <c r="T603" s="1164">
        <v>138</v>
      </c>
      <c r="U603" s="1162">
        <v>120</v>
      </c>
      <c r="V603" s="1162">
        <v>119</v>
      </c>
      <c r="W603" s="40"/>
      <c r="X603" s="40"/>
      <c r="Y603" s="40"/>
      <c r="Z603" s="40"/>
    </row>
    <row r="604" spans="2:26" ht="12.75" customHeight="1">
      <c r="B604">
        <v>56</v>
      </c>
      <c r="C604" s="40">
        <v>16</v>
      </c>
      <c r="D604" s="1160"/>
      <c r="E604" s="1160"/>
      <c r="F604" s="1160">
        <v>260</v>
      </c>
      <c r="G604" s="1160"/>
      <c r="H604" s="830">
        <v>579</v>
      </c>
      <c r="I604" s="1160"/>
      <c r="J604" s="40">
        <v>488</v>
      </c>
      <c r="K604" s="40">
        <v>207</v>
      </c>
      <c r="L604" s="40">
        <v>482</v>
      </c>
      <c r="M604" s="40"/>
      <c r="N604" s="1164">
        <v>83</v>
      </c>
      <c r="O604" s="1164">
        <v>76</v>
      </c>
      <c r="P604" s="1164">
        <v>119</v>
      </c>
      <c r="Q604" s="1164">
        <v>74</v>
      </c>
      <c r="R604" s="1164">
        <v>155</v>
      </c>
      <c r="S604" s="1164">
        <v>86</v>
      </c>
      <c r="T604" s="1164">
        <v>145</v>
      </c>
      <c r="U604" s="1162">
        <v>114</v>
      </c>
      <c r="V604" s="1162">
        <v>105</v>
      </c>
      <c r="W604" s="40"/>
      <c r="X604" s="40"/>
      <c r="Y604" s="40"/>
      <c r="Z604" s="40"/>
    </row>
    <row r="605" spans="2:26" ht="12.75" customHeight="1">
      <c r="B605">
        <v>56</v>
      </c>
      <c r="C605" s="40">
        <v>17</v>
      </c>
      <c r="D605" s="1160"/>
      <c r="E605" s="1160"/>
      <c r="F605" s="830">
        <v>414</v>
      </c>
      <c r="G605" s="1160"/>
      <c r="H605" s="830">
        <v>621</v>
      </c>
      <c r="I605" s="1160"/>
      <c r="J605" s="40">
        <v>346</v>
      </c>
      <c r="K605" s="40">
        <v>83</v>
      </c>
      <c r="L605" s="40">
        <v>359</v>
      </c>
      <c r="M605" s="40"/>
      <c r="N605" s="1164">
        <v>87</v>
      </c>
      <c r="O605" s="1164">
        <v>72</v>
      </c>
      <c r="P605" s="1164">
        <v>133</v>
      </c>
      <c r="Q605" s="1164">
        <v>65</v>
      </c>
      <c r="R605" s="1164">
        <v>165</v>
      </c>
      <c r="S605" s="1164">
        <v>72</v>
      </c>
      <c r="T605" s="1164">
        <v>142</v>
      </c>
      <c r="U605" s="1162">
        <v>101</v>
      </c>
      <c r="V605" s="1162">
        <v>96</v>
      </c>
      <c r="W605" s="40"/>
      <c r="X605" s="40"/>
      <c r="Y605" s="40"/>
      <c r="Z605" s="40"/>
    </row>
    <row r="606" spans="2:26" ht="12.75" customHeight="1">
      <c r="B606">
        <v>56</v>
      </c>
      <c r="C606" s="40">
        <v>18</v>
      </c>
      <c r="D606" s="1160">
        <v>64</v>
      </c>
      <c r="E606" s="1160"/>
      <c r="F606" s="830">
        <v>460</v>
      </c>
      <c r="G606" s="1160"/>
      <c r="H606" s="830">
        <v>594</v>
      </c>
      <c r="I606" s="1160"/>
      <c r="J606" s="40">
        <v>184</v>
      </c>
      <c r="K606" s="40"/>
      <c r="L606" s="40">
        <v>237</v>
      </c>
      <c r="M606" s="40"/>
      <c r="N606" s="1164">
        <v>90</v>
      </c>
      <c r="O606" s="1164">
        <v>59</v>
      </c>
      <c r="P606" s="1164">
        <v>125</v>
      </c>
      <c r="Q606" s="1164">
        <v>58</v>
      </c>
      <c r="R606" s="1164">
        <v>156</v>
      </c>
      <c r="S606" s="1164">
        <v>56</v>
      </c>
      <c r="T606" s="1164">
        <v>121</v>
      </c>
      <c r="U606" s="1162">
        <v>78</v>
      </c>
      <c r="V606" s="1162">
        <v>77</v>
      </c>
      <c r="W606" s="40"/>
      <c r="X606" s="40"/>
      <c r="Y606" s="40"/>
      <c r="Z606" s="40"/>
    </row>
    <row r="607" spans="2:26" ht="12.75" customHeight="1">
      <c r="B607">
        <v>56</v>
      </c>
      <c r="C607" s="40">
        <v>19</v>
      </c>
      <c r="D607" s="1160">
        <v>159</v>
      </c>
      <c r="E607" s="1160"/>
      <c r="F607" s="830">
        <v>391</v>
      </c>
      <c r="G607" s="1160"/>
      <c r="H607" s="830">
        <v>482</v>
      </c>
      <c r="I607" s="1160"/>
      <c r="J607" s="40">
        <v>23</v>
      </c>
      <c r="K607" s="40"/>
      <c r="L607" s="40">
        <v>140</v>
      </c>
      <c r="M607" s="40"/>
      <c r="N607" s="1164">
        <v>76</v>
      </c>
      <c r="O607" s="1164">
        <v>41</v>
      </c>
      <c r="P607" s="1164">
        <v>95</v>
      </c>
      <c r="Q607" s="1164">
        <v>41</v>
      </c>
      <c r="R607" s="1164">
        <v>101</v>
      </c>
      <c r="S607" s="1164">
        <v>37</v>
      </c>
      <c r="T607" s="1164">
        <v>77</v>
      </c>
      <c r="U607" s="1162">
        <v>46</v>
      </c>
      <c r="V607" s="1162">
        <v>56</v>
      </c>
      <c r="W607" s="40"/>
      <c r="X607" s="40"/>
      <c r="Y607" s="40"/>
      <c r="Z607" s="40"/>
    </row>
    <row r="608" spans="2:26" ht="12.75" customHeight="1">
      <c r="B608">
        <v>56</v>
      </c>
      <c r="C608" s="40">
        <v>20</v>
      </c>
      <c r="D608" s="1160">
        <v>136</v>
      </c>
      <c r="E608" s="1160"/>
      <c r="F608" s="1160">
        <v>187</v>
      </c>
      <c r="G608" s="1160"/>
      <c r="H608" s="1160">
        <v>258</v>
      </c>
      <c r="I608" s="1160"/>
      <c r="J608" s="40"/>
      <c r="K608" s="40"/>
      <c r="L608" s="40">
        <v>62</v>
      </c>
      <c r="M608" s="40"/>
      <c r="N608" s="1164">
        <v>26</v>
      </c>
      <c r="O608" s="1162">
        <v>16</v>
      </c>
      <c r="P608" s="1162">
        <v>44</v>
      </c>
      <c r="Q608" s="1162">
        <v>17</v>
      </c>
      <c r="R608" s="1162">
        <v>36</v>
      </c>
      <c r="S608" s="1162">
        <v>17</v>
      </c>
      <c r="T608" s="1162">
        <v>27</v>
      </c>
      <c r="U608" s="1162">
        <v>16</v>
      </c>
      <c r="V608" s="1162">
        <v>27</v>
      </c>
      <c r="W608" s="1162"/>
      <c r="X608" s="1162"/>
      <c r="Y608" s="40"/>
      <c r="Z608" s="40"/>
    </row>
    <row r="609" spans="3:26" ht="12.75" customHeight="1">
      <c r="C609" s="40">
        <v>21</v>
      </c>
      <c r="D609" s="1160"/>
      <c r="E609" s="1160"/>
      <c r="F609" s="1160"/>
      <c r="G609" s="1160"/>
      <c r="H609" s="1160"/>
      <c r="I609" s="1160"/>
      <c r="J609" s="40"/>
      <c r="K609" s="40"/>
      <c r="L609" s="40"/>
      <c r="M609" s="40"/>
      <c r="N609" s="1164"/>
      <c r="O609" s="1162"/>
      <c r="P609" s="1162"/>
      <c r="Q609" s="1162"/>
      <c r="R609" s="1162"/>
      <c r="S609" s="1162"/>
      <c r="T609" s="1162"/>
      <c r="U609" s="1162"/>
      <c r="V609" s="1162"/>
      <c r="W609" s="1162"/>
      <c r="X609" s="1162"/>
      <c r="Y609" s="40"/>
      <c r="Z609" s="40"/>
    </row>
    <row r="610" spans="3:26" ht="12.75" customHeight="1">
      <c r="C610" s="40">
        <v>22</v>
      </c>
      <c r="D610" s="1160"/>
      <c r="E610" s="1160"/>
      <c r="F610" s="1160"/>
      <c r="G610" s="1160"/>
      <c r="H610" s="1160"/>
      <c r="I610" s="1160"/>
      <c r="J610" s="40"/>
      <c r="K610" s="40"/>
      <c r="L610" s="40"/>
      <c r="M610" s="40"/>
      <c r="N610" s="1164"/>
      <c r="O610" s="1162"/>
      <c r="P610" s="1162"/>
      <c r="Q610" s="1162"/>
      <c r="R610" s="1162"/>
      <c r="S610" s="1162"/>
      <c r="T610" s="1162"/>
      <c r="U610" s="1162"/>
      <c r="V610" s="1162"/>
      <c r="W610" s="1162"/>
      <c r="X610" s="1162"/>
      <c r="Y610" s="40"/>
      <c r="Z610" s="40"/>
    </row>
    <row r="611" spans="3:26" ht="12.75" customHeight="1">
      <c r="C611" s="40">
        <v>23</v>
      </c>
      <c r="D611" s="1160"/>
      <c r="E611" s="1160"/>
      <c r="F611" s="1160"/>
      <c r="G611" s="1160"/>
      <c r="H611" s="1160"/>
      <c r="I611" s="1160"/>
      <c r="J611" s="40"/>
      <c r="K611" s="40"/>
      <c r="L611" s="40"/>
      <c r="M611" s="40"/>
      <c r="N611" s="1164"/>
      <c r="O611" s="1162"/>
      <c r="P611" s="1162"/>
      <c r="Q611" s="1162"/>
      <c r="R611" s="1162"/>
      <c r="S611" s="1162"/>
      <c r="T611" s="1162"/>
      <c r="U611" s="1162"/>
      <c r="V611" s="1162"/>
      <c r="W611" s="1162"/>
      <c r="X611" s="1162"/>
      <c r="Y611" s="40"/>
      <c r="Z611" s="40"/>
    </row>
    <row r="612" spans="3:26" ht="12.75" customHeight="1">
      <c r="C612" s="40">
        <v>24</v>
      </c>
      <c r="D612" s="1160"/>
      <c r="E612" s="1160"/>
      <c r="F612" s="1160"/>
      <c r="G612" s="1160"/>
      <c r="H612" s="1160"/>
      <c r="I612" s="1160"/>
      <c r="J612" s="40"/>
      <c r="K612" s="40"/>
      <c r="L612" s="40"/>
      <c r="M612" s="40"/>
      <c r="N612" s="1164"/>
      <c r="O612" s="1162"/>
      <c r="P612" s="1162"/>
      <c r="Q612" s="1162"/>
      <c r="R612" s="1162"/>
      <c r="S612" s="1162"/>
      <c r="T612" s="1162"/>
      <c r="U612" s="1162"/>
      <c r="V612" s="1162"/>
      <c r="W612" s="1162"/>
      <c r="X612" s="1162"/>
      <c r="Y612" s="40"/>
      <c r="Z612" s="40"/>
    </row>
    <row r="613" spans="3:26" ht="12.75" customHeight="1">
      <c r="C613" s="40"/>
      <c r="D613" s="1160"/>
      <c r="E613" s="1160"/>
      <c r="F613" s="1160"/>
      <c r="G613" s="1160"/>
      <c r="H613" s="1160"/>
      <c r="I613" s="1160"/>
      <c r="J613" s="40"/>
      <c r="K613" s="40"/>
      <c r="L613" s="40"/>
      <c r="M613" s="40"/>
      <c r="N613" s="40"/>
      <c r="O613" s="40"/>
      <c r="P613" s="1161"/>
      <c r="Q613" s="40"/>
      <c r="R613" s="1161"/>
      <c r="S613" s="1162"/>
      <c r="T613" s="1162"/>
      <c r="U613" s="1162"/>
      <c r="V613" s="1162"/>
      <c r="W613" s="1162"/>
      <c r="X613" s="1162"/>
      <c r="Y613" s="40"/>
      <c r="Z613" s="40"/>
    </row>
    <row r="614" spans="3:26" ht="12.75" customHeight="1">
      <c r="C614" s="1150"/>
      <c r="D614" s="1294" t="s">
        <v>735</v>
      </c>
      <c r="E614" s="1294"/>
      <c r="F614" s="1294"/>
      <c r="G614" s="1294"/>
      <c r="H614" s="1294"/>
      <c r="I614" s="1294"/>
      <c r="J614" s="1294"/>
      <c r="K614" s="1294"/>
      <c r="L614" s="1294"/>
      <c r="N614" s="1294" t="s">
        <v>736</v>
      </c>
      <c r="O614" s="1294"/>
      <c r="P614" s="1294"/>
      <c r="Q614" s="1294"/>
      <c r="R614" s="1294"/>
      <c r="S614" s="1294"/>
      <c r="T614" s="1294"/>
      <c r="U614" s="1294"/>
      <c r="V614" s="1294"/>
      <c r="W614" s="1162"/>
      <c r="X614" s="1162"/>
      <c r="Y614" s="40"/>
      <c r="Z614" s="40"/>
    </row>
    <row r="615" spans="3:26" ht="12.75" customHeight="1">
      <c r="C615">
        <v>60</v>
      </c>
      <c r="D615" s="1148" t="s">
        <v>681</v>
      </c>
      <c r="E615" s="1147" t="s">
        <v>682</v>
      </c>
      <c r="F615" s="1147" t="s">
        <v>683</v>
      </c>
      <c r="G615" s="1147" t="s">
        <v>684</v>
      </c>
      <c r="H615" s="1149" t="s">
        <v>685</v>
      </c>
      <c r="I615" s="1147" t="s">
        <v>686</v>
      </c>
      <c r="J615" s="1147" t="s">
        <v>687</v>
      </c>
      <c r="K615" s="1147" t="s">
        <v>688</v>
      </c>
      <c r="L615" s="1147" t="s">
        <v>689</v>
      </c>
      <c r="N615" s="1148" t="s">
        <v>681</v>
      </c>
      <c r="O615" s="1147" t="s">
        <v>682</v>
      </c>
      <c r="P615" s="1147" t="s">
        <v>683</v>
      </c>
      <c r="Q615" s="1147" t="s">
        <v>684</v>
      </c>
      <c r="R615" s="1149" t="s">
        <v>685</v>
      </c>
      <c r="S615" s="1147" t="s">
        <v>686</v>
      </c>
      <c r="T615" s="1147" t="s">
        <v>687</v>
      </c>
      <c r="U615" s="1147" t="s">
        <v>688</v>
      </c>
      <c r="V615" s="1147" t="s">
        <v>689</v>
      </c>
      <c r="W615" s="40"/>
      <c r="X615" s="40"/>
      <c r="Y615" s="40"/>
      <c r="Z615" s="40"/>
    </row>
    <row r="616" spans="3:26" ht="12.75" customHeight="1">
      <c r="C616" s="40">
        <v>1</v>
      </c>
      <c r="D616" s="1148"/>
      <c r="E616" s="1147"/>
      <c r="F616" s="1147"/>
      <c r="G616" s="1147"/>
      <c r="H616" s="1149"/>
      <c r="I616" s="1147"/>
      <c r="J616" s="1147"/>
      <c r="K616" s="1147"/>
      <c r="L616" s="1147"/>
      <c r="N616" s="1148"/>
      <c r="O616" s="1147"/>
      <c r="P616" s="1147"/>
      <c r="Q616" s="1147"/>
      <c r="R616" s="1149"/>
      <c r="S616" s="1147"/>
      <c r="T616" s="1147"/>
      <c r="U616" s="1147"/>
      <c r="V616" s="1147"/>
      <c r="W616" s="40"/>
      <c r="X616" s="40"/>
      <c r="Y616" s="40"/>
      <c r="Z616" s="40"/>
    </row>
    <row r="617" spans="3:26" ht="12.75" customHeight="1">
      <c r="C617" s="40">
        <v>2</v>
      </c>
      <c r="D617" s="1148"/>
      <c r="E617" s="1147"/>
      <c r="F617" s="1147"/>
      <c r="G617" s="1147"/>
      <c r="H617" s="1149"/>
      <c r="I617" s="1147"/>
      <c r="J617" s="1147"/>
      <c r="K617" s="1147"/>
      <c r="L617" s="1147"/>
      <c r="N617" s="1148"/>
      <c r="O617" s="1147"/>
      <c r="P617" s="1147"/>
      <c r="Q617" s="1147"/>
      <c r="R617" s="1149"/>
      <c r="S617" s="1147"/>
      <c r="T617" s="1147"/>
      <c r="U617" s="1147"/>
      <c r="V617" s="1147"/>
      <c r="W617" s="40"/>
      <c r="X617" s="40"/>
      <c r="Y617" s="40"/>
      <c r="Z617" s="40"/>
    </row>
    <row r="618" spans="3:26" ht="12.75" customHeight="1">
      <c r="C618" s="40">
        <v>3</v>
      </c>
      <c r="D618" s="1148"/>
      <c r="E618" s="1147"/>
      <c r="F618" s="1147"/>
      <c r="G618" s="1147"/>
      <c r="H618" s="1149"/>
      <c r="I618" s="1147"/>
      <c r="J618" s="1147"/>
      <c r="K618" s="1147"/>
      <c r="L618" s="1147"/>
      <c r="N618" s="1148"/>
      <c r="O618" s="1147"/>
      <c r="P618" s="1147"/>
      <c r="Q618" s="1147"/>
      <c r="R618" s="1149"/>
      <c r="S618" s="1147"/>
      <c r="T618" s="1147"/>
      <c r="U618" s="1147"/>
      <c r="V618" s="1147"/>
      <c r="W618" s="40"/>
      <c r="X618" s="40"/>
      <c r="Y618" s="40"/>
      <c r="Z618" s="40"/>
    </row>
    <row r="619" spans="3:26" ht="12.75" customHeight="1">
      <c r="C619" s="40">
        <v>4</v>
      </c>
      <c r="D619" s="1148"/>
      <c r="E619" s="1147"/>
      <c r="F619" s="1147"/>
      <c r="G619" s="1147"/>
      <c r="H619" s="1149"/>
      <c r="I619" s="1147"/>
      <c r="J619" s="1147"/>
      <c r="K619" s="1147"/>
      <c r="L619" s="1147"/>
      <c r="N619" s="1148"/>
      <c r="O619" s="1147"/>
      <c r="P619" s="1147"/>
      <c r="Q619" s="1147"/>
      <c r="R619" s="1149"/>
      <c r="S619" s="1147"/>
      <c r="T619" s="1147"/>
      <c r="U619" s="1147"/>
      <c r="V619" s="1147"/>
      <c r="W619" s="40"/>
      <c r="X619" s="40"/>
      <c r="Y619" s="40"/>
      <c r="Z619" s="40"/>
    </row>
    <row r="620" spans="2:26" ht="12.75" customHeight="1">
      <c r="B620">
        <v>60</v>
      </c>
      <c r="C620">
        <v>5</v>
      </c>
      <c r="D620" s="1148"/>
      <c r="E620" s="1147"/>
      <c r="F620" s="1147"/>
      <c r="G620" s="1147"/>
      <c r="H620" s="1149"/>
      <c r="I620" s="1147"/>
      <c r="J620" s="1147"/>
      <c r="K620" s="1147"/>
      <c r="L620" s="1147"/>
      <c r="N620" s="1148"/>
      <c r="O620" s="1147"/>
      <c r="P620" s="1147"/>
      <c r="Q620" s="1147"/>
      <c r="R620" s="1149"/>
      <c r="S620" s="1147"/>
      <c r="T620" s="1147"/>
      <c r="U620" s="1147"/>
      <c r="V620" s="1147"/>
      <c r="W620" s="40"/>
      <c r="X620" s="40"/>
      <c r="Y620" s="40"/>
      <c r="Z620" s="40"/>
    </row>
    <row r="621" spans="2:26" ht="12.75" customHeight="1">
      <c r="B621">
        <v>60</v>
      </c>
      <c r="C621">
        <v>6</v>
      </c>
      <c r="D621" s="1155"/>
      <c r="E621" s="1155"/>
      <c r="G621" s="1158"/>
      <c r="H621" s="1155"/>
      <c r="I621" s="1158"/>
      <c r="N621" s="1155"/>
      <c r="O621" s="1155"/>
      <c r="P621" s="1155"/>
      <c r="Q621" s="1155"/>
      <c r="R621" s="1158"/>
      <c r="S621" s="1158"/>
      <c r="T621" s="1158"/>
      <c r="V621"/>
      <c r="W621" s="40"/>
      <c r="X621" s="40"/>
      <c r="Y621" s="40"/>
      <c r="Z621" s="40"/>
    </row>
    <row r="622" spans="2:26" ht="12.75" customHeight="1">
      <c r="B622">
        <v>60</v>
      </c>
      <c r="C622">
        <v>7</v>
      </c>
      <c r="D622" s="1155"/>
      <c r="E622" s="1155"/>
      <c r="G622" s="1158"/>
      <c r="H622" s="1155"/>
      <c r="I622" s="1158"/>
      <c r="N622" s="1155"/>
      <c r="O622" s="1155"/>
      <c r="P622" s="1155"/>
      <c r="Q622" s="1155"/>
      <c r="R622" s="1158"/>
      <c r="S622" s="1158"/>
      <c r="T622" s="1158"/>
      <c r="V622"/>
      <c r="W622" s="40"/>
      <c r="X622" s="40"/>
      <c r="Y622" s="40"/>
      <c r="Z622" s="40"/>
    </row>
    <row r="623" spans="2:26" ht="12.75" customHeight="1">
      <c r="B623">
        <v>60</v>
      </c>
      <c r="C623">
        <v>8</v>
      </c>
      <c r="D623" s="1155"/>
      <c r="E623" s="1155"/>
      <c r="G623" s="1158"/>
      <c r="H623" s="1155"/>
      <c r="I623" s="1158"/>
      <c r="N623" s="1155"/>
      <c r="O623" s="1155"/>
      <c r="P623" s="1155"/>
      <c r="Q623" s="1155"/>
      <c r="R623" s="1158"/>
      <c r="S623" s="1158"/>
      <c r="T623" s="1158"/>
      <c r="V623"/>
      <c r="W623" s="40"/>
      <c r="X623" s="40"/>
      <c r="Y623" s="40"/>
      <c r="Z623" s="40"/>
    </row>
    <row r="624" spans="2:22" ht="12.75" customHeight="1">
      <c r="B624">
        <v>60</v>
      </c>
      <c r="C624">
        <v>9</v>
      </c>
      <c r="D624" s="1155"/>
      <c r="E624" s="1158"/>
      <c r="G624" s="1158"/>
      <c r="H624" s="1155"/>
      <c r="I624" s="1158"/>
      <c r="N624" s="1158"/>
      <c r="O624" s="1158"/>
      <c r="P624" s="1158"/>
      <c r="Q624" s="1158"/>
      <c r="R624" s="1158"/>
      <c r="S624" s="1158"/>
      <c r="T624" s="1158"/>
      <c r="V624"/>
    </row>
    <row r="625" spans="2:22" ht="12.75" customHeight="1">
      <c r="B625">
        <v>60</v>
      </c>
      <c r="C625">
        <v>10</v>
      </c>
      <c r="D625" s="1155"/>
      <c r="E625" s="1158"/>
      <c r="G625" s="1158"/>
      <c r="H625" s="1155"/>
      <c r="I625" s="1158"/>
      <c r="N625" s="1158"/>
      <c r="O625" s="1158"/>
      <c r="P625" s="1158"/>
      <c r="Q625" s="1158"/>
      <c r="R625" s="1158"/>
      <c r="S625" s="1158"/>
      <c r="T625" s="1158"/>
      <c r="V625"/>
    </row>
    <row r="626" spans="2:22" ht="12.75" customHeight="1">
      <c r="B626">
        <v>60</v>
      </c>
      <c r="C626">
        <v>11</v>
      </c>
      <c r="D626" s="1155"/>
      <c r="E626" s="1158"/>
      <c r="G626" s="1158"/>
      <c r="H626" s="1155"/>
      <c r="I626" s="1158"/>
      <c r="N626" s="1158"/>
      <c r="O626" s="1158"/>
      <c r="P626" s="1158"/>
      <c r="Q626" s="1158"/>
      <c r="R626" s="1158"/>
      <c r="S626" s="1158"/>
      <c r="T626" s="1158"/>
      <c r="V626"/>
    </row>
    <row r="627" spans="2:22" ht="12.75" customHeight="1">
      <c r="B627">
        <v>60</v>
      </c>
      <c r="C627">
        <v>12</v>
      </c>
      <c r="D627" s="1155"/>
      <c r="E627" s="1155"/>
      <c r="G627" s="1158"/>
      <c r="H627" s="1155"/>
      <c r="I627" s="1158"/>
      <c r="N627" s="1158"/>
      <c r="O627" s="1158"/>
      <c r="P627" s="1158"/>
      <c r="Q627" s="1158"/>
      <c r="R627" s="1158"/>
      <c r="S627" s="1158"/>
      <c r="T627" s="1158"/>
      <c r="V627"/>
    </row>
    <row r="628" spans="2:22" ht="12.75" customHeight="1">
      <c r="B628">
        <v>60</v>
      </c>
      <c r="C628">
        <v>13</v>
      </c>
      <c r="D628" s="1155"/>
      <c r="E628" s="1155"/>
      <c r="G628" s="1158"/>
      <c r="H628" s="1155"/>
      <c r="I628" s="1158"/>
      <c r="N628" s="1158"/>
      <c r="O628" s="1158"/>
      <c r="P628" s="1158"/>
      <c r="Q628" s="1158"/>
      <c r="R628" s="1158"/>
      <c r="S628" s="1158"/>
      <c r="T628" s="1158"/>
      <c r="V628"/>
    </row>
    <row r="629" spans="2:22" ht="12.75" customHeight="1">
      <c r="B629">
        <v>60</v>
      </c>
      <c r="C629">
        <v>14</v>
      </c>
      <c r="D629" s="1155"/>
      <c r="E629" s="1155"/>
      <c r="F629" s="1155"/>
      <c r="G629" s="1155"/>
      <c r="H629" s="1155"/>
      <c r="I629" s="1155"/>
      <c r="N629" s="1158"/>
      <c r="O629" s="1158"/>
      <c r="P629" s="1158"/>
      <c r="Q629" s="1158"/>
      <c r="R629" s="1158"/>
      <c r="S629" s="1158"/>
      <c r="T629" s="1158"/>
      <c r="V629"/>
    </row>
    <row r="630" spans="2:22" ht="12.75" customHeight="1">
      <c r="B630">
        <v>60</v>
      </c>
      <c r="C630">
        <v>15</v>
      </c>
      <c r="D630" s="1155"/>
      <c r="E630" s="1155"/>
      <c r="F630" s="1155"/>
      <c r="G630" s="1155"/>
      <c r="H630" s="1158"/>
      <c r="I630" s="1155"/>
      <c r="N630" s="1158"/>
      <c r="O630" s="1158"/>
      <c r="P630" s="1158"/>
      <c r="Q630" s="1158"/>
      <c r="R630" s="1158"/>
      <c r="S630" s="1158"/>
      <c r="T630" s="1158"/>
      <c r="V630"/>
    </row>
    <row r="631" spans="2:22" ht="12.75" customHeight="1">
      <c r="B631">
        <v>60</v>
      </c>
      <c r="C631">
        <v>16</v>
      </c>
      <c r="D631" s="1155"/>
      <c r="E631" s="1155"/>
      <c r="F631" s="1155"/>
      <c r="G631" s="1155"/>
      <c r="H631" s="1158"/>
      <c r="I631" s="1155"/>
      <c r="N631" s="1158"/>
      <c r="O631" s="1158"/>
      <c r="P631" s="1158"/>
      <c r="Q631" s="1158"/>
      <c r="R631" s="1158"/>
      <c r="S631" s="1158"/>
      <c r="T631" s="1158"/>
      <c r="V631"/>
    </row>
    <row r="632" spans="2:22" ht="12.75" customHeight="1">
      <c r="B632">
        <v>60</v>
      </c>
      <c r="C632">
        <v>17</v>
      </c>
      <c r="D632" s="1155"/>
      <c r="E632" s="1155"/>
      <c r="F632" s="1158"/>
      <c r="G632" s="1155"/>
      <c r="H632" s="1158"/>
      <c r="I632" s="1155"/>
      <c r="N632" s="1158"/>
      <c r="O632" s="1158"/>
      <c r="P632" s="1158"/>
      <c r="Q632" s="1158"/>
      <c r="R632" s="1158"/>
      <c r="S632" s="1158"/>
      <c r="T632" s="1158"/>
      <c r="V632"/>
    </row>
    <row r="633" spans="2:22" ht="12.75" customHeight="1">
      <c r="B633">
        <v>60</v>
      </c>
      <c r="C633">
        <v>18</v>
      </c>
      <c r="D633" s="1155"/>
      <c r="E633" s="1155"/>
      <c r="F633" s="1158"/>
      <c r="G633" s="1155"/>
      <c r="H633" s="1158"/>
      <c r="I633" s="1155"/>
      <c r="N633" s="1158"/>
      <c r="O633" s="1158"/>
      <c r="P633" s="1158"/>
      <c r="Q633" s="1158"/>
      <c r="R633" s="1158"/>
      <c r="S633" s="1158"/>
      <c r="T633" s="1158"/>
      <c r="V633"/>
    </row>
    <row r="634" spans="2:22" ht="12.75" customHeight="1">
      <c r="B634">
        <v>60</v>
      </c>
      <c r="C634">
        <v>19</v>
      </c>
      <c r="D634" s="1155"/>
      <c r="E634" s="1155"/>
      <c r="F634" s="1158"/>
      <c r="G634" s="1155"/>
      <c r="H634" s="1158"/>
      <c r="I634" s="1155"/>
      <c r="N634" s="1158"/>
      <c r="O634" s="1158"/>
      <c r="P634" s="1158"/>
      <c r="Q634" s="1158"/>
      <c r="R634" s="1158"/>
      <c r="S634" s="1158"/>
      <c r="T634" s="1158"/>
      <c r="V634"/>
    </row>
    <row r="635" spans="2:22" ht="12.75" customHeight="1">
      <c r="B635">
        <v>60</v>
      </c>
      <c r="C635">
        <v>20</v>
      </c>
      <c r="D635" s="1155"/>
      <c r="E635" s="1155"/>
      <c r="F635" s="1158"/>
      <c r="G635" s="1155"/>
      <c r="H635" s="1158"/>
      <c r="I635" s="1155"/>
      <c r="N635" s="1158"/>
      <c r="O635" s="1158"/>
      <c r="P635" s="1158"/>
      <c r="Q635" s="1158"/>
      <c r="R635" s="1158"/>
      <c r="S635" s="1158"/>
      <c r="T635" s="1158"/>
      <c r="V635"/>
    </row>
    <row r="636" spans="3:22" ht="12.75" customHeight="1">
      <c r="C636">
        <v>21</v>
      </c>
      <c r="D636" s="1155"/>
      <c r="E636" s="1155"/>
      <c r="F636" s="1158"/>
      <c r="G636" s="1155"/>
      <c r="H636" s="1158"/>
      <c r="I636" s="1155"/>
      <c r="N636" s="1158"/>
      <c r="O636" s="1158"/>
      <c r="P636" s="1158"/>
      <c r="Q636" s="1158"/>
      <c r="R636" s="1158"/>
      <c r="S636" s="1158"/>
      <c r="T636" s="1158"/>
      <c r="V636"/>
    </row>
    <row r="637" spans="3:22" ht="12.75" customHeight="1">
      <c r="C637">
        <v>22</v>
      </c>
      <c r="D637" s="1155"/>
      <c r="E637" s="1155"/>
      <c r="F637" s="1158"/>
      <c r="G637" s="1155"/>
      <c r="H637" s="1158"/>
      <c r="I637" s="1155"/>
      <c r="N637" s="1158"/>
      <c r="O637" s="1158"/>
      <c r="P637" s="1158"/>
      <c r="Q637" s="1158"/>
      <c r="R637" s="1158"/>
      <c r="S637" s="1158"/>
      <c r="T637" s="1158"/>
      <c r="V637"/>
    </row>
    <row r="638" spans="3:22" ht="12.75" customHeight="1">
      <c r="C638">
        <v>23</v>
      </c>
      <c r="D638" s="1155"/>
      <c r="E638" s="1155"/>
      <c r="F638" s="1158"/>
      <c r="G638" s="1155"/>
      <c r="H638" s="1158"/>
      <c r="I638" s="1155"/>
      <c r="N638" s="1158"/>
      <c r="O638" s="1158"/>
      <c r="P638" s="1158"/>
      <c r="Q638" s="1158"/>
      <c r="R638" s="1158"/>
      <c r="S638" s="1158"/>
      <c r="T638" s="1158"/>
      <c r="V638"/>
    </row>
    <row r="639" spans="3:22" ht="12.75" customHeight="1">
      <c r="C639">
        <v>24</v>
      </c>
      <c r="D639" s="1155"/>
      <c r="E639" s="1155"/>
      <c r="F639" s="1158"/>
      <c r="G639" s="1155"/>
      <c r="H639" s="1158"/>
      <c r="I639" s="1155"/>
      <c r="N639" s="1158"/>
      <c r="O639" s="1158"/>
      <c r="P639" s="1158"/>
      <c r="Q639" s="1158"/>
      <c r="R639" s="1158"/>
      <c r="S639" s="1158"/>
      <c r="T639" s="1158"/>
      <c r="V639"/>
    </row>
    <row r="640" spans="4:9" ht="12.75" customHeight="1">
      <c r="D640" s="1155"/>
      <c r="E640" s="1155"/>
      <c r="F640" s="1155"/>
      <c r="G640" s="1155"/>
      <c r="H640" s="1155"/>
      <c r="I640" s="1155"/>
    </row>
    <row r="641" spans="3:22" ht="12.75" customHeight="1">
      <c r="C641" s="1150"/>
      <c r="D641" s="1294" t="s">
        <v>735</v>
      </c>
      <c r="E641" s="1294"/>
      <c r="F641" s="1294"/>
      <c r="G641" s="1294"/>
      <c r="H641" s="1294"/>
      <c r="I641" s="1294"/>
      <c r="J641" s="1294"/>
      <c r="K641" s="1294"/>
      <c r="L641" s="1294"/>
      <c r="N641" s="1294" t="s">
        <v>736</v>
      </c>
      <c r="O641" s="1294"/>
      <c r="P641" s="1294"/>
      <c r="Q641" s="1294"/>
      <c r="R641" s="1294"/>
      <c r="S641" s="1294"/>
      <c r="T641" s="1294"/>
      <c r="U641" s="1294"/>
      <c r="V641" s="1294"/>
    </row>
    <row r="642" spans="3:22" ht="12.75" customHeight="1">
      <c r="C642">
        <v>64</v>
      </c>
      <c r="D642" s="1148" t="s">
        <v>681</v>
      </c>
      <c r="E642" s="1147" t="s">
        <v>682</v>
      </c>
      <c r="F642" s="1147" t="s">
        <v>683</v>
      </c>
      <c r="G642" s="1147" t="s">
        <v>684</v>
      </c>
      <c r="H642" s="1149" t="s">
        <v>685</v>
      </c>
      <c r="I642" s="1147" t="s">
        <v>686</v>
      </c>
      <c r="J642" s="1147" t="s">
        <v>687</v>
      </c>
      <c r="K642" s="1147" t="s">
        <v>688</v>
      </c>
      <c r="L642" s="1147" t="s">
        <v>689</v>
      </c>
      <c r="N642" s="1148" t="s">
        <v>681</v>
      </c>
      <c r="O642" s="1147" t="s">
        <v>682</v>
      </c>
      <c r="P642" s="1147" t="s">
        <v>683</v>
      </c>
      <c r="Q642" s="1147" t="s">
        <v>684</v>
      </c>
      <c r="R642" s="1149" t="s">
        <v>685</v>
      </c>
      <c r="S642" s="1147" t="s">
        <v>686</v>
      </c>
      <c r="T642" s="1147" t="s">
        <v>687</v>
      </c>
      <c r="U642" s="1147" t="s">
        <v>688</v>
      </c>
      <c r="V642" s="1147" t="s">
        <v>689</v>
      </c>
    </row>
    <row r="643" spans="3:22" ht="12.75" customHeight="1">
      <c r="C643">
        <v>1</v>
      </c>
      <c r="D643" s="1148"/>
      <c r="E643" s="1147"/>
      <c r="F643" s="1147"/>
      <c r="G643" s="1147"/>
      <c r="H643" s="1149"/>
      <c r="I643" s="1147"/>
      <c r="J643" s="1147"/>
      <c r="K643" s="1147"/>
      <c r="L643" s="1147"/>
      <c r="N643" s="1148"/>
      <c r="O643" s="1147"/>
      <c r="P643" s="1147"/>
      <c r="Q643" s="1147"/>
      <c r="R643" s="1149"/>
      <c r="S643" s="1147"/>
      <c r="T643" s="1147"/>
      <c r="U643" s="1147"/>
      <c r="V643" s="1147"/>
    </row>
    <row r="644" spans="3:22" ht="12.75" customHeight="1">
      <c r="C644">
        <v>2</v>
      </c>
      <c r="D644" s="1148"/>
      <c r="E644" s="1147"/>
      <c r="F644" s="1147"/>
      <c r="G644" s="1147"/>
      <c r="H644" s="1149"/>
      <c r="I644" s="1147"/>
      <c r="J644" s="1147"/>
      <c r="K644" s="1147"/>
      <c r="L644" s="1147"/>
      <c r="N644" s="1148"/>
      <c r="O644" s="1147"/>
      <c r="P644" s="1147"/>
      <c r="Q644" s="1147"/>
      <c r="R644" s="1149"/>
      <c r="S644" s="1147"/>
      <c r="T644" s="1147"/>
      <c r="U644" s="1147"/>
      <c r="V644" s="1147"/>
    </row>
    <row r="645" spans="3:22" ht="12.75" customHeight="1">
      <c r="C645">
        <v>3</v>
      </c>
      <c r="D645" s="1148"/>
      <c r="E645" s="1147"/>
      <c r="F645" s="1147"/>
      <c r="G645" s="1147"/>
      <c r="H645" s="1149"/>
      <c r="I645" s="1147"/>
      <c r="J645" s="1147"/>
      <c r="K645" s="1147"/>
      <c r="L645" s="1147"/>
      <c r="N645" s="1148"/>
      <c r="O645" s="1147"/>
      <c r="P645" s="1147"/>
      <c r="Q645" s="1147"/>
      <c r="R645" s="1149"/>
      <c r="S645" s="1147"/>
      <c r="T645" s="1147"/>
      <c r="U645" s="1147"/>
      <c r="V645" s="1147"/>
    </row>
    <row r="646" spans="3:22" ht="12.75" customHeight="1">
      <c r="C646">
        <v>4</v>
      </c>
      <c r="D646" s="1148"/>
      <c r="E646" s="1147"/>
      <c r="F646" s="1147"/>
      <c r="G646" s="1147"/>
      <c r="H646" s="1149"/>
      <c r="I646" s="1147"/>
      <c r="J646" s="1147"/>
      <c r="K646" s="1147"/>
      <c r="L646" s="1147"/>
      <c r="N646" s="1148"/>
      <c r="O646" s="1147"/>
      <c r="P646" s="1147"/>
      <c r="Q646" s="1147"/>
      <c r="R646" s="1149"/>
      <c r="S646" s="1147"/>
      <c r="T646" s="1147"/>
      <c r="U646" s="1147"/>
      <c r="V646" s="1147"/>
    </row>
    <row r="647" spans="2:22" ht="12.75" customHeight="1">
      <c r="B647">
        <v>64</v>
      </c>
      <c r="C647">
        <v>5</v>
      </c>
      <c r="D647" s="1148"/>
      <c r="E647" s="1147"/>
      <c r="F647" s="1147"/>
      <c r="G647" s="1147"/>
      <c r="H647" s="1149"/>
      <c r="I647" s="1147"/>
      <c r="J647" s="1147"/>
      <c r="K647" s="1147"/>
      <c r="L647" s="1147"/>
      <c r="N647" s="1148"/>
      <c r="O647" s="1147"/>
      <c r="P647" s="1147"/>
      <c r="Q647" s="1147"/>
      <c r="R647" s="1149"/>
      <c r="S647" s="1147"/>
      <c r="T647" s="1147"/>
      <c r="U647" s="1147"/>
      <c r="V647" s="1147"/>
    </row>
    <row r="648" spans="2:22" ht="12.75" customHeight="1">
      <c r="B648">
        <v>64</v>
      </c>
      <c r="C648">
        <v>6</v>
      </c>
      <c r="D648" s="1155"/>
      <c r="E648" s="1155"/>
      <c r="G648" s="1158"/>
      <c r="H648" s="1155"/>
      <c r="I648" s="1158"/>
      <c r="N648" s="1155"/>
      <c r="O648" s="1155"/>
      <c r="P648" s="1155"/>
      <c r="Q648" s="1155"/>
      <c r="R648" s="1158"/>
      <c r="S648" s="1158"/>
      <c r="T648" s="1158"/>
      <c r="V648"/>
    </row>
    <row r="649" spans="2:22" ht="12.75" customHeight="1">
      <c r="B649">
        <v>64</v>
      </c>
      <c r="C649">
        <v>7</v>
      </c>
      <c r="D649" s="1155"/>
      <c r="E649" s="1155"/>
      <c r="G649" s="1158"/>
      <c r="H649" s="1155"/>
      <c r="I649" s="1158"/>
      <c r="N649" s="1155"/>
      <c r="O649" s="1155"/>
      <c r="P649" s="1155"/>
      <c r="Q649" s="1155"/>
      <c r="R649" s="1158"/>
      <c r="S649" s="1158"/>
      <c r="T649" s="1158"/>
      <c r="V649"/>
    </row>
    <row r="650" spans="2:22" ht="12.75" customHeight="1">
      <c r="B650">
        <v>64</v>
      </c>
      <c r="C650">
        <v>8</v>
      </c>
      <c r="D650" s="1155"/>
      <c r="E650" s="1155"/>
      <c r="G650" s="1158"/>
      <c r="H650" s="1155"/>
      <c r="I650" s="1158"/>
      <c r="N650" s="1155"/>
      <c r="O650" s="1155"/>
      <c r="P650" s="1155"/>
      <c r="Q650" s="1155"/>
      <c r="R650" s="1158"/>
      <c r="S650" s="1158"/>
      <c r="T650" s="1158"/>
      <c r="V650"/>
    </row>
    <row r="651" spans="2:22" ht="12.75" customHeight="1">
      <c r="B651">
        <v>64</v>
      </c>
      <c r="C651">
        <v>9</v>
      </c>
      <c r="D651" s="1155"/>
      <c r="E651" s="1158"/>
      <c r="G651" s="1158"/>
      <c r="H651" s="1155"/>
      <c r="I651" s="1158"/>
      <c r="N651" s="1158"/>
      <c r="O651" s="1158"/>
      <c r="P651" s="1158"/>
      <c r="Q651" s="1158"/>
      <c r="R651" s="1158"/>
      <c r="S651" s="1158"/>
      <c r="T651" s="1158"/>
      <c r="V651"/>
    </row>
    <row r="652" spans="2:22" ht="12.75" customHeight="1">
      <c r="B652">
        <v>64</v>
      </c>
      <c r="C652">
        <v>10</v>
      </c>
      <c r="D652" s="1155"/>
      <c r="E652" s="1158"/>
      <c r="G652" s="1158"/>
      <c r="H652" s="1155"/>
      <c r="I652" s="1158"/>
      <c r="N652" s="1158"/>
      <c r="O652" s="1158"/>
      <c r="P652" s="1158"/>
      <c r="Q652" s="1158"/>
      <c r="R652" s="1158"/>
      <c r="S652" s="1158"/>
      <c r="T652" s="1158"/>
      <c r="V652"/>
    </row>
    <row r="653" spans="2:22" ht="12.75" customHeight="1">
      <c r="B653">
        <v>64</v>
      </c>
      <c r="C653">
        <v>11</v>
      </c>
      <c r="D653" s="1155"/>
      <c r="E653" s="1158"/>
      <c r="G653" s="1158"/>
      <c r="H653" s="1155"/>
      <c r="I653" s="1158"/>
      <c r="N653" s="1158"/>
      <c r="O653" s="1158"/>
      <c r="P653" s="1158"/>
      <c r="Q653" s="1158"/>
      <c r="R653" s="1158"/>
      <c r="S653" s="1158"/>
      <c r="T653" s="1158"/>
      <c r="V653"/>
    </row>
    <row r="654" spans="2:22" ht="12.75" customHeight="1">
      <c r="B654">
        <v>64</v>
      </c>
      <c r="C654">
        <v>12</v>
      </c>
      <c r="D654" s="1155"/>
      <c r="E654" s="1155"/>
      <c r="G654" s="1158"/>
      <c r="H654" s="1155"/>
      <c r="I654" s="1158"/>
      <c r="N654" s="1158"/>
      <c r="O654" s="1158"/>
      <c r="P654" s="1158"/>
      <c r="Q654" s="1158"/>
      <c r="R654" s="1158"/>
      <c r="S654" s="1158"/>
      <c r="T654" s="1158"/>
      <c r="V654"/>
    </row>
    <row r="655" spans="2:22" ht="12.75" customHeight="1">
      <c r="B655">
        <v>64</v>
      </c>
      <c r="C655">
        <v>13</v>
      </c>
      <c r="D655" s="1155"/>
      <c r="E655" s="1155"/>
      <c r="G655" s="1158"/>
      <c r="H655" s="1155"/>
      <c r="I655" s="1158"/>
      <c r="N655" s="1158"/>
      <c r="O655" s="1158"/>
      <c r="P655" s="1158"/>
      <c r="Q655" s="1158"/>
      <c r="R655" s="1158"/>
      <c r="S655" s="1158"/>
      <c r="T655" s="1158"/>
      <c r="V655"/>
    </row>
    <row r="656" spans="2:22" ht="12.75" customHeight="1">
      <c r="B656">
        <v>64</v>
      </c>
      <c r="C656">
        <v>14</v>
      </c>
      <c r="D656" s="1155"/>
      <c r="E656" s="1155"/>
      <c r="F656" s="1155"/>
      <c r="G656" s="1155"/>
      <c r="H656" s="1155"/>
      <c r="I656" s="1155"/>
      <c r="N656" s="1158"/>
      <c r="O656" s="1158"/>
      <c r="P656" s="1158"/>
      <c r="Q656" s="1158"/>
      <c r="R656" s="1158"/>
      <c r="S656" s="1158"/>
      <c r="T656" s="1158"/>
      <c r="V656"/>
    </row>
    <row r="657" spans="2:22" ht="12.75" customHeight="1">
      <c r="B657">
        <v>64</v>
      </c>
      <c r="C657">
        <v>15</v>
      </c>
      <c r="D657" s="1155"/>
      <c r="E657" s="1155"/>
      <c r="F657" s="1155"/>
      <c r="G657" s="1155"/>
      <c r="H657" s="1158"/>
      <c r="I657" s="1155"/>
      <c r="N657" s="1158"/>
      <c r="O657" s="1158"/>
      <c r="P657" s="1158"/>
      <c r="Q657" s="1158"/>
      <c r="R657" s="1158"/>
      <c r="S657" s="1158"/>
      <c r="T657" s="1158"/>
      <c r="V657"/>
    </row>
    <row r="658" spans="2:22" ht="12.75" customHeight="1">
      <c r="B658">
        <v>64</v>
      </c>
      <c r="C658">
        <v>16</v>
      </c>
      <c r="D658" s="1155"/>
      <c r="E658" s="1155"/>
      <c r="F658" s="1155"/>
      <c r="G658" s="1155"/>
      <c r="H658" s="1158"/>
      <c r="I658" s="1155"/>
      <c r="N658" s="1158"/>
      <c r="O658" s="1158"/>
      <c r="P658" s="1158"/>
      <c r="Q658" s="1158"/>
      <c r="R658" s="1158"/>
      <c r="S658" s="1158"/>
      <c r="T658" s="1158"/>
      <c r="V658"/>
    </row>
    <row r="659" spans="2:22" ht="12.75" customHeight="1">
      <c r="B659">
        <v>64</v>
      </c>
      <c r="C659">
        <v>17</v>
      </c>
      <c r="D659" s="1155"/>
      <c r="E659" s="1155"/>
      <c r="F659" s="1158"/>
      <c r="G659" s="1155"/>
      <c r="H659" s="1158"/>
      <c r="I659" s="1155"/>
      <c r="N659" s="1158"/>
      <c r="O659" s="1158"/>
      <c r="P659" s="1158"/>
      <c r="Q659" s="1158"/>
      <c r="R659" s="1158"/>
      <c r="S659" s="1158"/>
      <c r="T659" s="1158"/>
      <c r="V659"/>
    </row>
    <row r="660" spans="2:22" ht="12.75" customHeight="1">
      <c r="B660">
        <v>64</v>
      </c>
      <c r="C660">
        <v>18</v>
      </c>
      <c r="D660" s="1155"/>
      <c r="E660" s="1155"/>
      <c r="F660" s="1158"/>
      <c r="G660" s="1155"/>
      <c r="H660" s="1158"/>
      <c r="I660" s="1155"/>
      <c r="N660" s="1158"/>
      <c r="O660" s="1158"/>
      <c r="P660" s="1158"/>
      <c r="Q660" s="1158"/>
      <c r="R660" s="1158"/>
      <c r="S660" s="1158"/>
      <c r="T660" s="1158"/>
      <c r="V660"/>
    </row>
    <row r="661" spans="2:22" ht="12.75" customHeight="1">
      <c r="B661">
        <v>64</v>
      </c>
      <c r="C661">
        <v>19</v>
      </c>
      <c r="D661" s="1155"/>
      <c r="E661" s="1155"/>
      <c r="F661" s="1158"/>
      <c r="G661" s="1155"/>
      <c r="H661" s="1158"/>
      <c r="I661" s="1155"/>
      <c r="N661" s="1158"/>
      <c r="O661" s="1158"/>
      <c r="P661" s="1158"/>
      <c r="Q661" s="1158"/>
      <c r="R661" s="1158"/>
      <c r="S661" s="1158"/>
      <c r="T661" s="1158"/>
      <c r="V661"/>
    </row>
    <row r="662" spans="2:22" ht="12.75" customHeight="1">
      <c r="B662">
        <v>64</v>
      </c>
      <c r="C662">
        <v>20</v>
      </c>
      <c r="D662" s="1155"/>
      <c r="E662" s="1155"/>
      <c r="F662" s="1158"/>
      <c r="G662" s="1155"/>
      <c r="H662" s="1158"/>
      <c r="I662" s="1155"/>
      <c r="N662" s="1158"/>
      <c r="O662" s="1158"/>
      <c r="P662" s="1158"/>
      <c r="Q662" s="1158"/>
      <c r="R662" s="1158"/>
      <c r="S662" s="1158"/>
      <c r="T662" s="1158"/>
      <c r="V662"/>
    </row>
    <row r="663" spans="3:22" ht="12.75" customHeight="1">
      <c r="C663">
        <v>21</v>
      </c>
      <c r="D663" s="1155"/>
      <c r="E663" s="1155"/>
      <c r="F663" s="1158"/>
      <c r="G663" s="1155"/>
      <c r="H663" s="1158"/>
      <c r="I663" s="1155"/>
      <c r="N663" s="1158"/>
      <c r="O663" s="1158"/>
      <c r="P663" s="1158"/>
      <c r="Q663" s="1158"/>
      <c r="R663" s="1158"/>
      <c r="S663" s="1158"/>
      <c r="T663" s="1158"/>
      <c r="V663"/>
    </row>
    <row r="664" spans="3:22" ht="12.75" customHeight="1">
      <c r="C664">
        <v>22</v>
      </c>
      <c r="D664" s="1155"/>
      <c r="E664" s="1155"/>
      <c r="F664" s="1158"/>
      <c r="G664" s="1155"/>
      <c r="H664" s="1158"/>
      <c r="I664" s="1155"/>
      <c r="N664" s="1158"/>
      <c r="O664" s="1158"/>
      <c r="P664" s="1158"/>
      <c r="Q664" s="1158"/>
      <c r="R664" s="1158"/>
      <c r="S664" s="1158"/>
      <c r="T664" s="1158"/>
      <c r="V664"/>
    </row>
    <row r="665" spans="3:22" ht="12.75" customHeight="1">
      <c r="C665">
        <v>23</v>
      </c>
      <c r="D665" s="1155"/>
      <c r="E665" s="1155"/>
      <c r="F665" s="1158"/>
      <c r="G665" s="1155"/>
      <c r="H665" s="1158"/>
      <c r="I665" s="1155"/>
      <c r="N665" s="1158"/>
      <c r="O665" s="1158"/>
      <c r="P665" s="1158"/>
      <c r="Q665" s="1158"/>
      <c r="R665" s="1158"/>
      <c r="S665" s="1158"/>
      <c r="T665" s="1158"/>
      <c r="V665"/>
    </row>
    <row r="666" spans="3:22" ht="12.75" customHeight="1">
      <c r="C666">
        <v>24</v>
      </c>
      <c r="D666" s="1155"/>
      <c r="E666" s="1155"/>
      <c r="F666" s="1158"/>
      <c r="G666" s="1155"/>
      <c r="H666" s="1158"/>
      <c r="I666" s="1155"/>
      <c r="N666" s="1158"/>
      <c r="O666" s="1158"/>
      <c r="P666" s="1158"/>
      <c r="Q666" s="1158"/>
      <c r="R666" s="1158"/>
      <c r="S666" s="1158"/>
      <c r="T666" s="1158"/>
      <c r="V666"/>
    </row>
    <row r="667" spans="4:9" ht="12.75" customHeight="1">
      <c r="D667" s="1155"/>
      <c r="E667" s="1155"/>
      <c r="F667" s="1155"/>
      <c r="G667" s="1155"/>
      <c r="H667" s="1155"/>
      <c r="I667" s="1155"/>
    </row>
    <row r="668" spans="3:22" ht="12.75" customHeight="1">
      <c r="C668" s="1150"/>
      <c r="D668" s="1294" t="s">
        <v>735</v>
      </c>
      <c r="E668" s="1294"/>
      <c r="F668" s="1294"/>
      <c r="G668" s="1294"/>
      <c r="H668" s="1294"/>
      <c r="I668" s="1294"/>
      <c r="J668" s="1294"/>
      <c r="K668" s="1294"/>
      <c r="L668" s="1294"/>
      <c r="N668" s="1294" t="s">
        <v>736</v>
      </c>
      <c r="O668" s="1294"/>
      <c r="P668" s="1294"/>
      <c r="Q668" s="1294"/>
      <c r="R668" s="1294"/>
      <c r="S668" s="1294"/>
      <c r="T668" s="1294"/>
      <c r="U668" s="1294"/>
      <c r="V668" s="1294"/>
    </row>
    <row r="669" spans="3:22" ht="12.75" customHeight="1">
      <c r="C669">
        <v>68</v>
      </c>
      <c r="D669" s="1148" t="s">
        <v>681</v>
      </c>
      <c r="E669" s="1147" t="s">
        <v>682</v>
      </c>
      <c r="F669" s="1147" t="s">
        <v>683</v>
      </c>
      <c r="G669" s="1147" t="s">
        <v>684</v>
      </c>
      <c r="H669" s="1149" t="s">
        <v>685</v>
      </c>
      <c r="I669" s="1147" t="s">
        <v>686</v>
      </c>
      <c r="J669" s="1147" t="s">
        <v>687</v>
      </c>
      <c r="K669" s="1147" t="s">
        <v>688</v>
      </c>
      <c r="L669" s="1147" t="s">
        <v>689</v>
      </c>
      <c r="N669" s="1148" t="s">
        <v>681</v>
      </c>
      <c r="O669" s="1147" t="s">
        <v>682</v>
      </c>
      <c r="P669" s="1147" t="s">
        <v>683</v>
      </c>
      <c r="Q669" s="1147" t="s">
        <v>684</v>
      </c>
      <c r="R669" s="1149" t="s">
        <v>685</v>
      </c>
      <c r="S669" s="1147" t="s">
        <v>686</v>
      </c>
      <c r="T669" s="1147" t="s">
        <v>687</v>
      </c>
      <c r="U669" s="1147" t="s">
        <v>688</v>
      </c>
      <c r="V669" s="1147" t="s">
        <v>689</v>
      </c>
    </row>
    <row r="670" spans="3:22" ht="12.75" customHeight="1">
      <c r="C670">
        <v>1</v>
      </c>
      <c r="D670" s="1148"/>
      <c r="E670" s="1147"/>
      <c r="F670" s="1147"/>
      <c r="G670" s="1147"/>
      <c r="H670" s="1149"/>
      <c r="I670" s="1147"/>
      <c r="J670" s="1147"/>
      <c r="K670" s="1147"/>
      <c r="L670" s="1147"/>
      <c r="N670" s="1148"/>
      <c r="O670" s="1147"/>
      <c r="P670" s="1147"/>
      <c r="Q670" s="1147"/>
      <c r="R670" s="1149"/>
      <c r="S670" s="1147"/>
      <c r="T670" s="1147"/>
      <c r="U670" s="1147"/>
      <c r="V670" s="1147"/>
    </row>
    <row r="671" spans="3:22" ht="12.75" customHeight="1">
      <c r="C671">
        <v>2</v>
      </c>
      <c r="D671" s="1148"/>
      <c r="E671" s="1147"/>
      <c r="F671" s="1147"/>
      <c r="G671" s="1147"/>
      <c r="H671" s="1149"/>
      <c r="I671" s="1147"/>
      <c r="J671" s="1147"/>
      <c r="K671" s="1147"/>
      <c r="L671" s="1147"/>
      <c r="N671" s="1148"/>
      <c r="O671" s="1147"/>
      <c r="P671" s="1147"/>
      <c r="Q671" s="1147"/>
      <c r="R671" s="1149"/>
      <c r="S671" s="1147"/>
      <c r="T671" s="1147"/>
      <c r="U671" s="1147"/>
      <c r="V671" s="1147"/>
    </row>
    <row r="672" spans="3:22" ht="12.75" customHeight="1">
      <c r="C672">
        <v>3</v>
      </c>
      <c r="D672" s="1148"/>
      <c r="E672" s="1147"/>
      <c r="F672" s="1147"/>
      <c r="G672" s="1147"/>
      <c r="H672" s="1149"/>
      <c r="I672" s="1147"/>
      <c r="J672" s="1147"/>
      <c r="K672" s="1147"/>
      <c r="L672" s="1147"/>
      <c r="N672" s="1148"/>
      <c r="O672" s="1147"/>
      <c r="P672" s="1147"/>
      <c r="Q672" s="1147"/>
      <c r="R672" s="1149"/>
      <c r="S672" s="1147"/>
      <c r="T672" s="1147"/>
      <c r="U672" s="1147"/>
      <c r="V672" s="1147"/>
    </row>
    <row r="673" spans="3:22" ht="12.75" customHeight="1">
      <c r="C673">
        <v>4</v>
      </c>
      <c r="D673" s="1148"/>
      <c r="E673" s="1147"/>
      <c r="F673" s="1147"/>
      <c r="G673" s="1147"/>
      <c r="H673" s="1149"/>
      <c r="I673" s="1147"/>
      <c r="J673" s="1147"/>
      <c r="K673" s="1147"/>
      <c r="L673" s="1147"/>
      <c r="N673" s="1148"/>
      <c r="O673" s="1147"/>
      <c r="P673" s="1147"/>
      <c r="Q673" s="1147"/>
      <c r="R673" s="1149"/>
      <c r="S673" s="1147"/>
      <c r="T673" s="1147"/>
      <c r="U673" s="1147"/>
      <c r="V673" s="1147"/>
    </row>
    <row r="674" spans="2:22" ht="12.75" customHeight="1">
      <c r="B674">
        <v>68</v>
      </c>
      <c r="C674">
        <v>5</v>
      </c>
      <c r="D674" s="1148"/>
      <c r="E674" s="1147"/>
      <c r="F674" s="1147"/>
      <c r="G674" s="1147"/>
      <c r="H674" s="1149"/>
      <c r="I674" s="1147"/>
      <c r="J674" s="1147"/>
      <c r="K674" s="1147"/>
      <c r="L674" s="1147"/>
      <c r="N674" s="1148"/>
      <c r="O674" s="1147"/>
      <c r="P674" s="1147"/>
      <c r="Q674" s="1147"/>
      <c r="R674" s="1149"/>
      <c r="S674" s="1147"/>
      <c r="T674" s="1147"/>
      <c r="U674" s="1147"/>
      <c r="V674" s="1147"/>
    </row>
    <row r="675" spans="2:22" ht="12.75" customHeight="1">
      <c r="B675">
        <v>68</v>
      </c>
      <c r="C675">
        <v>6</v>
      </c>
      <c r="D675" s="1155"/>
      <c r="E675" s="1155"/>
      <c r="G675" s="1158"/>
      <c r="H675" s="1155"/>
      <c r="I675" s="1158"/>
      <c r="N675" s="1155"/>
      <c r="O675" s="1155"/>
      <c r="P675" s="1155"/>
      <c r="Q675" s="1155"/>
      <c r="R675" s="1158"/>
      <c r="S675" s="1158"/>
      <c r="T675" s="1158"/>
      <c r="V675"/>
    </row>
    <row r="676" spans="2:22" ht="12.75" customHeight="1">
      <c r="B676">
        <v>68</v>
      </c>
      <c r="C676">
        <v>7</v>
      </c>
      <c r="D676" s="1155"/>
      <c r="E676" s="1155"/>
      <c r="G676" s="1158"/>
      <c r="H676" s="1155"/>
      <c r="I676" s="1158"/>
      <c r="N676" s="1155"/>
      <c r="O676" s="1155"/>
      <c r="P676" s="1155"/>
      <c r="Q676" s="1155"/>
      <c r="R676" s="1158"/>
      <c r="S676" s="1158"/>
      <c r="T676" s="1158"/>
      <c r="V676"/>
    </row>
    <row r="677" spans="2:22" ht="12.75" customHeight="1">
      <c r="B677">
        <v>68</v>
      </c>
      <c r="C677">
        <v>8</v>
      </c>
      <c r="D677" s="1155"/>
      <c r="E677" s="1155"/>
      <c r="G677" s="1158"/>
      <c r="H677" s="1155"/>
      <c r="I677" s="1158"/>
      <c r="N677" s="1155"/>
      <c r="O677" s="1155"/>
      <c r="P677" s="1155"/>
      <c r="Q677" s="1155"/>
      <c r="R677" s="1158"/>
      <c r="S677" s="1158"/>
      <c r="T677" s="1158"/>
      <c r="V677"/>
    </row>
    <row r="678" spans="2:22" ht="12.75" customHeight="1">
      <c r="B678">
        <v>68</v>
      </c>
      <c r="C678">
        <v>9</v>
      </c>
      <c r="D678" s="1155"/>
      <c r="E678" s="1158"/>
      <c r="G678" s="1158"/>
      <c r="H678" s="1155"/>
      <c r="I678" s="1158"/>
      <c r="N678" s="1158"/>
      <c r="O678" s="1158"/>
      <c r="P678" s="1158"/>
      <c r="Q678" s="1158"/>
      <c r="R678" s="1158"/>
      <c r="S678" s="1158"/>
      <c r="T678" s="1158"/>
      <c r="V678"/>
    </row>
    <row r="679" spans="2:22" ht="12.75" customHeight="1">
      <c r="B679">
        <v>68</v>
      </c>
      <c r="C679">
        <v>10</v>
      </c>
      <c r="D679" s="1155"/>
      <c r="E679" s="1158"/>
      <c r="G679" s="1158"/>
      <c r="H679" s="1155"/>
      <c r="I679" s="1158"/>
      <c r="N679" s="1158"/>
      <c r="O679" s="1158"/>
      <c r="P679" s="1158"/>
      <c r="Q679" s="1158"/>
      <c r="R679" s="1158"/>
      <c r="S679" s="1158"/>
      <c r="T679" s="1158"/>
      <c r="V679"/>
    </row>
    <row r="680" spans="2:22" ht="12.75" customHeight="1">
      <c r="B680">
        <v>68</v>
      </c>
      <c r="C680">
        <v>11</v>
      </c>
      <c r="D680" s="1155"/>
      <c r="E680" s="1158"/>
      <c r="G680" s="1158"/>
      <c r="H680" s="1155"/>
      <c r="I680" s="1158"/>
      <c r="N680" s="1158"/>
      <c r="O680" s="1158"/>
      <c r="P680" s="1158"/>
      <c r="Q680" s="1158"/>
      <c r="R680" s="1158"/>
      <c r="S680" s="1158"/>
      <c r="T680" s="1158"/>
      <c r="V680"/>
    </row>
    <row r="681" spans="2:22" ht="12.75" customHeight="1">
      <c r="B681">
        <v>68</v>
      </c>
      <c r="C681">
        <v>12</v>
      </c>
      <c r="D681" s="1155"/>
      <c r="E681" s="1155"/>
      <c r="G681" s="1158"/>
      <c r="H681" s="1155"/>
      <c r="I681" s="1158"/>
      <c r="N681" s="1158"/>
      <c r="O681" s="1158"/>
      <c r="P681" s="1158"/>
      <c r="Q681" s="1158"/>
      <c r="R681" s="1158"/>
      <c r="S681" s="1158"/>
      <c r="T681" s="1158"/>
      <c r="V681"/>
    </row>
    <row r="682" spans="2:22" ht="12.75" customHeight="1">
      <c r="B682">
        <v>68</v>
      </c>
      <c r="C682">
        <v>13</v>
      </c>
      <c r="D682" s="1155"/>
      <c r="E682" s="1155"/>
      <c r="G682" s="1158"/>
      <c r="H682" s="1155"/>
      <c r="I682" s="1158"/>
      <c r="N682" s="1158"/>
      <c r="O682" s="1158"/>
      <c r="P682" s="1158"/>
      <c r="Q682" s="1158"/>
      <c r="R682" s="1158"/>
      <c r="S682" s="1158"/>
      <c r="T682" s="1158"/>
      <c r="V682"/>
    </row>
    <row r="683" spans="2:22" ht="12.75" customHeight="1">
      <c r="B683">
        <v>68</v>
      </c>
      <c r="C683">
        <v>14</v>
      </c>
      <c r="D683" s="1155"/>
      <c r="E683" s="1155"/>
      <c r="F683" s="1155"/>
      <c r="G683" s="1155"/>
      <c r="H683" s="1155"/>
      <c r="I683" s="1155"/>
      <c r="N683" s="1158"/>
      <c r="O683" s="1158"/>
      <c r="P683" s="1158"/>
      <c r="Q683" s="1158"/>
      <c r="R683" s="1158"/>
      <c r="S683" s="1158"/>
      <c r="T683" s="1158"/>
      <c r="V683"/>
    </row>
    <row r="684" spans="2:22" ht="12.75" customHeight="1">
      <c r="B684">
        <v>68</v>
      </c>
      <c r="C684">
        <v>15</v>
      </c>
      <c r="D684" s="1155"/>
      <c r="E684" s="1155"/>
      <c r="F684" s="1155"/>
      <c r="G684" s="1155"/>
      <c r="H684" s="1158"/>
      <c r="I684" s="1155"/>
      <c r="N684" s="1158"/>
      <c r="O684" s="1158"/>
      <c r="P684" s="1158"/>
      <c r="Q684" s="1158"/>
      <c r="R684" s="1158"/>
      <c r="S684" s="1158"/>
      <c r="T684" s="1158"/>
      <c r="V684"/>
    </row>
    <row r="685" spans="2:22" ht="12.75" customHeight="1">
      <c r="B685">
        <v>68</v>
      </c>
      <c r="C685">
        <v>16</v>
      </c>
      <c r="D685" s="1155"/>
      <c r="E685" s="1155"/>
      <c r="F685" s="1155"/>
      <c r="G685" s="1155"/>
      <c r="H685" s="1158"/>
      <c r="I685" s="1155"/>
      <c r="N685" s="1158"/>
      <c r="O685" s="1158"/>
      <c r="P685" s="1158"/>
      <c r="Q685" s="1158"/>
      <c r="R685" s="1158"/>
      <c r="S685" s="1158"/>
      <c r="T685" s="1158"/>
      <c r="V685"/>
    </row>
    <row r="686" spans="2:22" ht="12.75" customHeight="1">
      <c r="B686">
        <v>68</v>
      </c>
      <c r="C686">
        <v>17</v>
      </c>
      <c r="D686" s="1155"/>
      <c r="E686" s="1155"/>
      <c r="F686" s="1158"/>
      <c r="G686" s="1155"/>
      <c r="H686" s="1158"/>
      <c r="I686" s="1155"/>
      <c r="N686" s="1158"/>
      <c r="O686" s="1158"/>
      <c r="P686" s="1158"/>
      <c r="Q686" s="1158"/>
      <c r="R686" s="1158"/>
      <c r="S686" s="1158"/>
      <c r="T686" s="1158"/>
      <c r="V686"/>
    </row>
    <row r="687" spans="2:22" ht="12.75" customHeight="1">
      <c r="B687">
        <v>68</v>
      </c>
      <c r="C687">
        <v>18</v>
      </c>
      <c r="D687" s="1155"/>
      <c r="E687" s="1155"/>
      <c r="F687" s="1158"/>
      <c r="G687" s="1155"/>
      <c r="H687" s="1158"/>
      <c r="I687" s="1155"/>
      <c r="N687" s="1158"/>
      <c r="O687" s="1158"/>
      <c r="P687" s="1158"/>
      <c r="Q687" s="1158"/>
      <c r="R687" s="1158"/>
      <c r="S687" s="1158"/>
      <c r="T687" s="1158"/>
      <c r="V687"/>
    </row>
    <row r="688" spans="2:22" ht="12.75" customHeight="1">
      <c r="B688">
        <v>68</v>
      </c>
      <c r="C688">
        <v>19</v>
      </c>
      <c r="D688" s="1155"/>
      <c r="E688" s="1155"/>
      <c r="F688" s="1158"/>
      <c r="G688" s="1155"/>
      <c r="H688" s="1158"/>
      <c r="I688" s="1155"/>
      <c r="N688" s="1158"/>
      <c r="O688" s="1158"/>
      <c r="P688" s="1158"/>
      <c r="Q688" s="1158"/>
      <c r="R688" s="1158"/>
      <c r="S688" s="1158"/>
      <c r="T688" s="1158"/>
      <c r="V688"/>
    </row>
    <row r="689" spans="2:22" ht="12.75" customHeight="1">
      <c r="B689">
        <v>68</v>
      </c>
      <c r="C689">
        <v>20</v>
      </c>
      <c r="D689" s="1155"/>
      <c r="E689" s="1155"/>
      <c r="F689" s="1158"/>
      <c r="G689" s="1155"/>
      <c r="H689" s="1158"/>
      <c r="I689" s="1155"/>
      <c r="N689" s="1158"/>
      <c r="O689" s="1158"/>
      <c r="P689" s="1158"/>
      <c r="Q689" s="1158"/>
      <c r="R689" s="1158"/>
      <c r="S689" s="1158"/>
      <c r="T689" s="1158"/>
      <c r="V689"/>
    </row>
    <row r="690" spans="3:22" ht="12.75" customHeight="1">
      <c r="C690">
        <v>21</v>
      </c>
      <c r="D690" s="1155"/>
      <c r="E690" s="1155"/>
      <c r="F690" s="1158"/>
      <c r="G690" s="1155"/>
      <c r="H690" s="1158"/>
      <c r="I690" s="1155"/>
      <c r="N690" s="1158"/>
      <c r="O690" s="1158"/>
      <c r="P690" s="1158"/>
      <c r="Q690" s="1158"/>
      <c r="R690" s="1158"/>
      <c r="S690" s="1158"/>
      <c r="T690" s="1158"/>
      <c r="V690"/>
    </row>
    <row r="691" spans="3:22" ht="12.75" customHeight="1">
      <c r="C691">
        <v>22</v>
      </c>
      <c r="D691" s="1155"/>
      <c r="E691" s="1155"/>
      <c r="F691" s="1158"/>
      <c r="G691" s="1155"/>
      <c r="H691" s="1158"/>
      <c r="I691" s="1155"/>
      <c r="N691" s="1158"/>
      <c r="O691" s="1158"/>
      <c r="P691" s="1158"/>
      <c r="Q691" s="1158"/>
      <c r="R691" s="1158"/>
      <c r="S691" s="1158"/>
      <c r="T691" s="1158"/>
      <c r="V691"/>
    </row>
    <row r="692" spans="3:22" ht="12.75" customHeight="1">
      <c r="C692">
        <v>23</v>
      </c>
      <c r="D692" s="1155"/>
      <c r="E692" s="1155"/>
      <c r="F692" s="1158"/>
      <c r="G692" s="1155"/>
      <c r="H692" s="1158"/>
      <c r="I692" s="1155"/>
      <c r="N692" s="1158"/>
      <c r="O692" s="1158"/>
      <c r="P692" s="1158"/>
      <c r="Q692" s="1158"/>
      <c r="R692" s="1158"/>
      <c r="S692" s="1158"/>
      <c r="T692" s="1158"/>
      <c r="V692"/>
    </row>
    <row r="693" spans="3:22" ht="12.75" customHeight="1">
      <c r="C693">
        <v>24</v>
      </c>
      <c r="D693" s="1155"/>
      <c r="E693" s="1155"/>
      <c r="F693" s="1158"/>
      <c r="G693" s="1155"/>
      <c r="H693" s="1158"/>
      <c r="I693" s="1155"/>
      <c r="N693" s="1158"/>
      <c r="O693" s="1158"/>
      <c r="P693" s="1158"/>
      <c r="Q693" s="1158"/>
      <c r="R693" s="1158"/>
      <c r="S693" s="1158"/>
      <c r="T693" s="1158"/>
      <c r="V693"/>
    </row>
    <row r="694" spans="4:9" ht="12.75" customHeight="1">
      <c r="D694" s="1155"/>
      <c r="E694" s="1155"/>
      <c r="F694" s="1155"/>
      <c r="G694" s="1155"/>
      <c r="H694" s="1155"/>
      <c r="I694" s="1155"/>
    </row>
    <row r="695" spans="3:22" ht="12.75" customHeight="1">
      <c r="C695" s="1150"/>
      <c r="D695" s="1294" t="s">
        <v>735</v>
      </c>
      <c r="E695" s="1294"/>
      <c r="F695" s="1294"/>
      <c r="G695" s="1294"/>
      <c r="H695" s="1294"/>
      <c r="I695" s="1294"/>
      <c r="J695" s="1294"/>
      <c r="K695" s="1294"/>
      <c r="L695" s="1294"/>
      <c r="N695" s="1294" t="s">
        <v>736</v>
      </c>
      <c r="O695" s="1294"/>
      <c r="P695" s="1294"/>
      <c r="Q695" s="1294"/>
      <c r="R695" s="1294"/>
      <c r="S695" s="1294"/>
      <c r="T695" s="1294"/>
      <c r="U695" s="1294"/>
      <c r="V695" s="1294"/>
    </row>
    <row r="696" spans="3:22" ht="12.75" customHeight="1">
      <c r="C696">
        <f>AM241</f>
        <v>56</v>
      </c>
      <c r="D696" s="1148" t="s">
        <v>681</v>
      </c>
      <c r="E696" s="1147" t="s">
        <v>682</v>
      </c>
      <c r="F696" s="1147" t="s">
        <v>683</v>
      </c>
      <c r="G696" s="1147" t="s">
        <v>684</v>
      </c>
      <c r="H696" s="1149" t="s">
        <v>685</v>
      </c>
      <c r="I696" s="1147" t="s">
        <v>686</v>
      </c>
      <c r="J696" s="1147" t="s">
        <v>687</v>
      </c>
      <c r="K696" s="1147" t="s">
        <v>688</v>
      </c>
      <c r="L696" s="1147" t="s">
        <v>689</v>
      </c>
      <c r="N696" s="1148" t="s">
        <v>681</v>
      </c>
      <c r="O696" s="1147" t="s">
        <v>682</v>
      </c>
      <c r="P696" s="1147" t="s">
        <v>683</v>
      </c>
      <c r="Q696" s="1147" t="s">
        <v>684</v>
      </c>
      <c r="R696" s="1149" t="s">
        <v>685</v>
      </c>
      <c r="S696" s="1147" t="s">
        <v>686</v>
      </c>
      <c r="T696" s="1147" t="s">
        <v>687</v>
      </c>
      <c r="U696" s="1147" t="s">
        <v>688</v>
      </c>
      <c r="V696" s="1147" t="s">
        <v>689</v>
      </c>
    </row>
    <row r="697" spans="2:22" ht="12.75" customHeight="1">
      <c r="B697">
        <f>C696</f>
        <v>56</v>
      </c>
      <c r="C697">
        <v>1</v>
      </c>
      <c r="D697" s="1148">
        <f aca="true" t="shared" si="0" ref="D697:L697">IF($B$701=$B$485,D481,0)+IF($B$701=$B$512,D508,0)+IF($B$701=$B$539,D535,0)+IF($B$701=$B$566,D562,0)+IF($B$701=$B$593,D589,0)+IF($B$701=$B$620,D616,0)+IF($B$701=$B$647,D643,0)+IF($B$701=$B$674,D670,0)</f>
        <v>0</v>
      </c>
      <c r="E697" s="1148">
        <f t="shared" si="0"/>
        <v>0</v>
      </c>
      <c r="F697" s="1148">
        <f t="shared" si="0"/>
        <v>0</v>
      </c>
      <c r="G697" s="1148">
        <f t="shared" si="0"/>
        <v>0</v>
      </c>
      <c r="H697" s="1148">
        <f t="shared" si="0"/>
        <v>0</v>
      </c>
      <c r="I697" s="1148">
        <f t="shared" si="0"/>
        <v>0</v>
      </c>
      <c r="J697" s="1148">
        <f t="shared" si="0"/>
        <v>0</v>
      </c>
      <c r="K697" s="1148">
        <f t="shared" si="0"/>
        <v>0</v>
      </c>
      <c r="L697" s="1148">
        <f t="shared" si="0"/>
        <v>0</v>
      </c>
      <c r="M697" s="1148"/>
      <c r="N697" s="1148">
        <f aca="true" t="shared" si="1" ref="N697:V697">IF($B$701=$B$485,N481,0)+IF($B$701=$B$512,N508,0)+IF($B$701=$B$539,N535,0)+IF($B$701=$B$566,N562,0)+IF($B$701=$B$593,N589,0)+IF($B$701=$B$620,N616,0)+IF($B$701=$B$647,N643,0)+IF($B$701=$B$674,N670,0)</f>
        <v>0</v>
      </c>
      <c r="O697" s="1148">
        <f t="shared" si="1"/>
        <v>0</v>
      </c>
      <c r="P697" s="1148">
        <f t="shared" si="1"/>
        <v>0</v>
      </c>
      <c r="Q697" s="1148">
        <f t="shared" si="1"/>
        <v>0</v>
      </c>
      <c r="R697" s="1148">
        <f t="shared" si="1"/>
        <v>0</v>
      </c>
      <c r="S697" s="1148">
        <f t="shared" si="1"/>
        <v>0</v>
      </c>
      <c r="T697" s="1148">
        <f t="shared" si="1"/>
        <v>0</v>
      </c>
      <c r="U697" s="1148">
        <f t="shared" si="1"/>
        <v>0</v>
      </c>
      <c r="V697" s="1148">
        <f t="shared" si="1"/>
        <v>0</v>
      </c>
    </row>
    <row r="698" spans="2:22" ht="12.75" customHeight="1">
      <c r="B698">
        <f>C696</f>
        <v>56</v>
      </c>
      <c r="C698">
        <v>2</v>
      </c>
      <c r="D698" s="1148">
        <f aca="true" t="shared" si="2" ref="D698:L698">IF($B$701=$B$485,D482,0)+IF($B$701=$B$512,D509,0)+IF($B$701=$B$539,D536,0)+IF($B$701=$B$566,D563,0)+IF($B$701=$B$593,D590,0)+IF($B$701=$B$620,D617,0)+IF($B$701=$B$647,D644,0)+IF($B$701=$B$674,D671,0)</f>
        <v>0</v>
      </c>
      <c r="E698" s="1148">
        <f t="shared" si="2"/>
        <v>0</v>
      </c>
      <c r="F698" s="1148">
        <f t="shared" si="2"/>
        <v>0</v>
      </c>
      <c r="G698" s="1148">
        <f t="shared" si="2"/>
        <v>0</v>
      </c>
      <c r="H698" s="1148">
        <f t="shared" si="2"/>
        <v>0</v>
      </c>
      <c r="I698" s="1148">
        <f t="shared" si="2"/>
        <v>0</v>
      </c>
      <c r="J698" s="1148">
        <f t="shared" si="2"/>
        <v>0</v>
      </c>
      <c r="K698" s="1148">
        <f t="shared" si="2"/>
        <v>0</v>
      </c>
      <c r="L698" s="1148">
        <f t="shared" si="2"/>
        <v>0</v>
      </c>
      <c r="M698" s="1148"/>
      <c r="N698" s="1148">
        <f aca="true" t="shared" si="3" ref="N698:V698">IF($B$701=$B$485,N482,0)+IF($B$701=$B$512,N509,0)+IF($B$701=$B$539,N536,0)+IF($B$701=$B$566,N563,0)+IF($B$701=$B$593,N590,0)+IF($B$701=$B$620,N617,0)+IF($B$701=$B$647,N644,0)+IF($B$701=$B$674,N671,0)</f>
        <v>0</v>
      </c>
      <c r="O698" s="1148">
        <f t="shared" si="3"/>
        <v>0</v>
      </c>
      <c r="P698" s="1148">
        <f t="shared" si="3"/>
        <v>0</v>
      </c>
      <c r="Q698" s="1148">
        <f t="shared" si="3"/>
        <v>0</v>
      </c>
      <c r="R698" s="1148">
        <f t="shared" si="3"/>
        <v>0</v>
      </c>
      <c r="S698" s="1148">
        <f t="shared" si="3"/>
        <v>0</v>
      </c>
      <c r="T698" s="1148">
        <f t="shared" si="3"/>
        <v>0</v>
      </c>
      <c r="U698" s="1148">
        <f t="shared" si="3"/>
        <v>0</v>
      </c>
      <c r="V698" s="1148">
        <f t="shared" si="3"/>
        <v>0</v>
      </c>
    </row>
    <row r="699" spans="2:22" ht="12.75" customHeight="1">
      <c r="B699">
        <f>C696</f>
        <v>56</v>
      </c>
      <c r="C699">
        <v>3</v>
      </c>
      <c r="D699" s="1148">
        <f aca="true" t="shared" si="4" ref="D699:L699">IF($B$701=$B$485,D483,0)+IF($B$701=$B$512,D510,0)+IF($B$701=$B$539,D537,0)+IF($B$701=$B$566,D564,0)+IF($B$701=$B$593,D591,0)+IF($B$701=$B$620,D618,0)+IF($B$701=$B$647,D645,0)+IF($B$701=$B$674,D672,0)</f>
        <v>0</v>
      </c>
      <c r="E699" s="1148">
        <f t="shared" si="4"/>
        <v>0</v>
      </c>
      <c r="F699" s="1148">
        <f t="shared" si="4"/>
        <v>0</v>
      </c>
      <c r="G699" s="1148">
        <f t="shared" si="4"/>
        <v>0</v>
      </c>
      <c r="H699" s="1148">
        <f t="shared" si="4"/>
        <v>0</v>
      </c>
      <c r="I699" s="1148">
        <f t="shared" si="4"/>
        <v>0</v>
      </c>
      <c r="J699" s="1148">
        <f t="shared" si="4"/>
        <v>0</v>
      </c>
      <c r="K699" s="1148">
        <f t="shared" si="4"/>
        <v>0</v>
      </c>
      <c r="L699" s="1148">
        <f t="shared" si="4"/>
        <v>0</v>
      </c>
      <c r="M699" s="1148"/>
      <c r="N699" s="1148">
        <f aca="true" t="shared" si="5" ref="N699:V699">IF($B$701=$B$485,N483,0)+IF($B$701=$B$512,N510,0)+IF($B$701=$B$539,N537,0)+IF($B$701=$B$566,N564,0)+IF($B$701=$B$593,N591,0)+IF($B$701=$B$620,N618,0)+IF($B$701=$B$647,N645,0)+IF($B$701=$B$674,N672,0)</f>
        <v>0</v>
      </c>
      <c r="O699" s="1148">
        <f t="shared" si="5"/>
        <v>0</v>
      </c>
      <c r="P699" s="1148">
        <f t="shared" si="5"/>
        <v>0</v>
      </c>
      <c r="Q699" s="1148">
        <f t="shared" si="5"/>
        <v>0</v>
      </c>
      <c r="R699" s="1148">
        <f t="shared" si="5"/>
        <v>0</v>
      </c>
      <c r="S699" s="1148">
        <f t="shared" si="5"/>
        <v>0</v>
      </c>
      <c r="T699" s="1148">
        <f t="shared" si="5"/>
        <v>0</v>
      </c>
      <c r="U699" s="1148">
        <f t="shared" si="5"/>
        <v>0</v>
      </c>
      <c r="V699" s="1148">
        <f t="shared" si="5"/>
        <v>0</v>
      </c>
    </row>
    <row r="700" spans="2:22" ht="12.75" customHeight="1">
      <c r="B700">
        <f>C696</f>
        <v>56</v>
      </c>
      <c r="C700">
        <v>4</v>
      </c>
      <c r="D700" s="1148">
        <f aca="true" t="shared" si="6" ref="D700:L700">IF($B$701=$B$485,D484,0)+IF($B$701=$B$512,D511,0)+IF($B$701=$B$539,D538,0)+IF($B$701=$B$566,D565,0)+IF($B$701=$B$593,D592,0)+IF($B$701=$B$620,D619,0)+IF($B$701=$B$647,D646,0)+IF($B$701=$B$674,D673,0)</f>
        <v>0</v>
      </c>
      <c r="E700" s="1148">
        <f t="shared" si="6"/>
        <v>0</v>
      </c>
      <c r="F700" s="1148">
        <f t="shared" si="6"/>
        <v>0</v>
      </c>
      <c r="G700" s="1148">
        <f t="shared" si="6"/>
        <v>0</v>
      </c>
      <c r="H700" s="1148">
        <f t="shared" si="6"/>
        <v>0</v>
      </c>
      <c r="I700" s="1148">
        <f t="shared" si="6"/>
        <v>0</v>
      </c>
      <c r="J700" s="1148">
        <f t="shared" si="6"/>
        <v>0</v>
      </c>
      <c r="K700" s="1148">
        <f t="shared" si="6"/>
        <v>0</v>
      </c>
      <c r="L700" s="1148">
        <f t="shared" si="6"/>
        <v>0</v>
      </c>
      <c r="M700" s="1148"/>
      <c r="N700" s="1148">
        <f aca="true" t="shared" si="7" ref="N700:V700">IF($B$701=$B$485,N484,0)+IF($B$701=$B$512,N511,0)+IF($B$701=$B$539,N538,0)+IF($B$701=$B$566,N565,0)+IF($B$701=$B$593,N592,0)+IF($B$701=$B$620,N619,0)+IF($B$701=$B$647,N646,0)+IF($B$701=$B$674,N673,0)</f>
        <v>0</v>
      </c>
      <c r="O700" s="1148">
        <f t="shared" si="7"/>
        <v>0</v>
      </c>
      <c r="P700" s="1148">
        <f t="shared" si="7"/>
        <v>0</v>
      </c>
      <c r="Q700" s="1148">
        <f t="shared" si="7"/>
        <v>0</v>
      </c>
      <c r="R700" s="1148">
        <f t="shared" si="7"/>
        <v>0</v>
      </c>
      <c r="S700" s="1148">
        <f t="shared" si="7"/>
        <v>0</v>
      </c>
      <c r="T700" s="1148">
        <f t="shared" si="7"/>
        <v>0</v>
      </c>
      <c r="U700" s="1148">
        <f t="shared" si="7"/>
        <v>0</v>
      </c>
      <c r="V700" s="1148">
        <f t="shared" si="7"/>
        <v>0</v>
      </c>
    </row>
    <row r="701" spans="2:22" ht="12.75" customHeight="1">
      <c r="B701">
        <f>C696</f>
        <v>56</v>
      </c>
      <c r="C701">
        <v>5</v>
      </c>
      <c r="D701" s="1148">
        <f aca="true" t="shared" si="8" ref="D701:L701">IF($B$701=$B$485,D485,0)+IF($B$701=$B$512,D512,0)+IF($B$701=$B$539,D539,0)+IF($B$701=$B$566,D566,0)+IF($B$701=$B$593,D593,0)+IF($B$701=$B$620,D620,0)+IF($B$701=$B$647,D647,0)+IF($B$701=$B$674,D674,0)</f>
        <v>136</v>
      </c>
      <c r="E701" s="1148">
        <f t="shared" si="8"/>
        <v>187</v>
      </c>
      <c r="F701" s="1148">
        <f t="shared" si="8"/>
        <v>0</v>
      </c>
      <c r="G701" s="1148">
        <f t="shared" si="8"/>
        <v>258</v>
      </c>
      <c r="H701" s="1148">
        <f t="shared" si="8"/>
        <v>0</v>
      </c>
      <c r="I701" s="1148">
        <f t="shared" si="8"/>
        <v>23</v>
      </c>
      <c r="J701" s="1148">
        <f t="shared" si="8"/>
        <v>0</v>
      </c>
      <c r="K701" s="1148">
        <f t="shared" si="8"/>
        <v>0</v>
      </c>
      <c r="L701" s="1148">
        <f t="shared" si="8"/>
        <v>62</v>
      </c>
      <c r="M701" s="1148"/>
      <c r="N701" s="1148">
        <f aca="true" t="shared" si="9" ref="N701:V701">IF($B$701=$B$485,N485,0)+IF($B$701=$B$512,N512,0)+IF($B$701=$B$539,N539,0)+IF($B$701=$B$566,N566,0)+IF($B$701=$B$593,N593,0)+IF($B$701=$B$620,N620,0)+IF($B$701=$B$647,N647,0)+IF($B$701=$B$674,N674,0)</f>
        <v>26</v>
      </c>
      <c r="O701" s="1148">
        <f t="shared" si="9"/>
        <v>44</v>
      </c>
      <c r="P701" s="1148">
        <f t="shared" si="9"/>
        <v>16</v>
      </c>
      <c r="Q701" s="1148">
        <f t="shared" si="9"/>
        <v>36</v>
      </c>
      <c r="R701" s="1148">
        <f t="shared" si="9"/>
        <v>17</v>
      </c>
      <c r="S701" s="1148">
        <f t="shared" si="9"/>
        <v>27</v>
      </c>
      <c r="T701" s="1148">
        <f t="shared" si="9"/>
        <v>17</v>
      </c>
      <c r="U701" s="1148">
        <f t="shared" si="9"/>
        <v>16</v>
      </c>
      <c r="V701" s="1148">
        <f t="shared" si="9"/>
        <v>27</v>
      </c>
    </row>
    <row r="702" spans="2:22" ht="12.75" customHeight="1">
      <c r="B702">
        <f aca="true" t="shared" si="10" ref="B702:B715">$C$696</f>
        <v>56</v>
      </c>
      <c r="C702">
        <v>6</v>
      </c>
      <c r="D702" s="1148">
        <f aca="true" t="shared" si="11" ref="D702:L702">IF($B$701=$B$485,D486,0)+IF($B$701=$B$512,D513,0)+IF($B$701=$B$539,D540,0)+IF($B$701=$B$566,D567,0)+IF($B$701=$B$593,D594,0)+IF($B$701=$B$620,D621,0)+IF($B$701=$B$647,D648,0)+IF($B$701=$B$674,D675,0)</f>
        <v>159</v>
      </c>
      <c r="E702" s="1148">
        <f t="shared" si="11"/>
        <v>391</v>
      </c>
      <c r="F702" s="1148">
        <f t="shared" si="11"/>
        <v>0</v>
      </c>
      <c r="G702" s="1148">
        <f t="shared" si="11"/>
        <v>482</v>
      </c>
      <c r="H702" s="1148">
        <f t="shared" si="11"/>
        <v>0</v>
      </c>
      <c r="I702" s="1148">
        <f t="shared" si="11"/>
        <v>184</v>
      </c>
      <c r="J702" s="1148">
        <f t="shared" si="11"/>
        <v>0</v>
      </c>
      <c r="K702" s="1148">
        <f t="shared" si="11"/>
        <v>0</v>
      </c>
      <c r="L702" s="1148">
        <f t="shared" si="11"/>
        <v>140</v>
      </c>
      <c r="M702" s="1148"/>
      <c r="N702" s="1148">
        <f aca="true" t="shared" si="12" ref="N702:V702">IF($B$701=$B$485,N486,0)+IF($B$701=$B$512,N513,0)+IF($B$701=$B$539,N540,0)+IF($B$701=$B$566,N567,0)+IF($B$701=$B$593,N594,0)+IF($B$701=$B$620,N621,0)+IF($B$701=$B$647,N648,0)+IF($B$701=$B$674,N675,0)</f>
        <v>76</v>
      </c>
      <c r="O702" s="1148">
        <f t="shared" si="12"/>
        <v>95</v>
      </c>
      <c r="P702" s="1148">
        <f t="shared" si="12"/>
        <v>41</v>
      </c>
      <c r="Q702" s="1148">
        <f t="shared" si="12"/>
        <v>101</v>
      </c>
      <c r="R702" s="1148">
        <f t="shared" si="12"/>
        <v>41</v>
      </c>
      <c r="S702" s="1148">
        <f t="shared" si="12"/>
        <v>77</v>
      </c>
      <c r="T702" s="1148">
        <f t="shared" si="12"/>
        <v>37</v>
      </c>
      <c r="U702" s="1148">
        <f t="shared" si="12"/>
        <v>46</v>
      </c>
      <c r="V702" s="1148">
        <f t="shared" si="12"/>
        <v>56</v>
      </c>
    </row>
    <row r="703" spans="2:22" ht="12.75" customHeight="1">
      <c r="B703">
        <f t="shared" si="10"/>
        <v>56</v>
      </c>
      <c r="C703">
        <v>7</v>
      </c>
      <c r="D703" s="1148">
        <f aca="true" t="shared" si="13" ref="D703:L703">IF($B$701=$B$485,D487,0)+IF($B$701=$B$512,D514,0)+IF($B$701=$B$539,D541,0)+IF($B$701=$B$566,D568,0)+IF($B$701=$B$593,D595,0)+IF($B$701=$B$620,D622,0)+IF($B$701=$B$647,D649,0)+IF($B$701=$B$674,D676,0)</f>
        <v>64</v>
      </c>
      <c r="E703" s="1148">
        <f t="shared" si="13"/>
        <v>460</v>
      </c>
      <c r="F703" s="1148">
        <f t="shared" si="13"/>
        <v>0</v>
      </c>
      <c r="G703" s="1148">
        <f t="shared" si="13"/>
        <v>594</v>
      </c>
      <c r="H703" s="1148">
        <f t="shared" si="13"/>
        <v>0</v>
      </c>
      <c r="I703" s="1148">
        <f t="shared" si="13"/>
        <v>346</v>
      </c>
      <c r="J703" s="1148">
        <f t="shared" si="13"/>
        <v>0</v>
      </c>
      <c r="K703" s="1148">
        <f t="shared" si="13"/>
        <v>0</v>
      </c>
      <c r="L703" s="1148">
        <f t="shared" si="13"/>
        <v>237</v>
      </c>
      <c r="M703" s="1148"/>
      <c r="N703" s="1148">
        <f aca="true" t="shared" si="14" ref="N703:V703">IF($B$701=$B$485,N487,0)+IF($B$701=$B$512,N514,0)+IF($B$701=$B$539,N541,0)+IF($B$701=$B$566,N568,0)+IF($B$701=$B$593,N595,0)+IF($B$701=$B$620,N622,0)+IF($B$701=$B$647,N649,0)+IF($B$701=$B$674,N676,0)</f>
        <v>90</v>
      </c>
      <c r="O703" s="1148">
        <f t="shared" si="14"/>
        <v>125</v>
      </c>
      <c r="P703" s="1148">
        <f t="shared" si="14"/>
        <v>59</v>
      </c>
      <c r="Q703" s="1148">
        <f t="shared" si="14"/>
        <v>156</v>
      </c>
      <c r="R703" s="1148">
        <f t="shared" si="14"/>
        <v>58</v>
      </c>
      <c r="S703" s="1148">
        <f t="shared" si="14"/>
        <v>121</v>
      </c>
      <c r="T703" s="1148">
        <f t="shared" si="14"/>
        <v>56</v>
      </c>
      <c r="U703" s="1148">
        <f t="shared" si="14"/>
        <v>78</v>
      </c>
      <c r="V703" s="1148">
        <f t="shared" si="14"/>
        <v>77</v>
      </c>
    </row>
    <row r="704" spans="2:22" ht="12.75" customHeight="1">
      <c r="B704">
        <f t="shared" si="10"/>
        <v>56</v>
      </c>
      <c r="C704">
        <v>8</v>
      </c>
      <c r="D704" s="1148">
        <f aca="true" t="shared" si="15" ref="D704:L704">IF($B$701=$B$485,D488,0)+IF($B$701=$B$512,D515,0)+IF($B$701=$B$539,D542,0)+IF($B$701=$B$566,D569,0)+IF($B$701=$B$593,D596,0)+IF($B$701=$B$620,D623,0)+IF($B$701=$B$647,D650,0)+IF($B$701=$B$674,D677,0)</f>
        <v>0</v>
      </c>
      <c r="E704" s="1148">
        <f t="shared" si="15"/>
        <v>414</v>
      </c>
      <c r="F704" s="1148">
        <f t="shared" si="15"/>
        <v>0</v>
      </c>
      <c r="G704" s="1148">
        <f t="shared" si="15"/>
        <v>621</v>
      </c>
      <c r="H704" s="1148">
        <f t="shared" si="15"/>
        <v>0</v>
      </c>
      <c r="I704" s="1148">
        <f t="shared" si="15"/>
        <v>488</v>
      </c>
      <c r="J704" s="1148">
        <f t="shared" si="15"/>
        <v>0</v>
      </c>
      <c r="K704" s="1148">
        <f t="shared" si="15"/>
        <v>83</v>
      </c>
      <c r="L704" s="1148">
        <f t="shared" si="15"/>
        <v>359</v>
      </c>
      <c r="M704" s="1148"/>
      <c r="N704" s="1148">
        <f aca="true" t="shared" si="16" ref="N704:V704">IF($B$701=$B$485,N488,0)+IF($B$701=$B$512,N515,0)+IF($B$701=$B$539,N542,0)+IF($B$701=$B$566,N569,0)+IF($B$701=$B$593,N596,0)+IF($B$701=$B$620,N623,0)+IF($B$701=$B$647,N650,0)+IF($B$701=$B$674,N677,0)</f>
        <v>87</v>
      </c>
      <c r="O704" s="1148">
        <f t="shared" si="16"/>
        <v>133</v>
      </c>
      <c r="P704" s="1148">
        <f t="shared" si="16"/>
        <v>72</v>
      </c>
      <c r="Q704" s="1148">
        <f t="shared" si="16"/>
        <v>165</v>
      </c>
      <c r="R704" s="1148">
        <f t="shared" si="16"/>
        <v>65</v>
      </c>
      <c r="S704" s="1148">
        <f t="shared" si="16"/>
        <v>142</v>
      </c>
      <c r="T704" s="1148">
        <f t="shared" si="16"/>
        <v>72</v>
      </c>
      <c r="U704" s="1148">
        <f t="shared" si="16"/>
        <v>101</v>
      </c>
      <c r="V704" s="1148">
        <f t="shared" si="16"/>
        <v>96</v>
      </c>
    </row>
    <row r="705" spans="2:22" ht="12.75" customHeight="1">
      <c r="B705">
        <f t="shared" si="10"/>
        <v>56</v>
      </c>
      <c r="C705">
        <v>9</v>
      </c>
      <c r="D705" s="1148">
        <f aca="true" t="shared" si="17" ref="D705:L705">IF($B$701=$B$485,D489,0)+IF($B$701=$B$512,D516,0)+IF($B$701=$B$539,D543,0)+IF($B$701=$B$566,D570,0)+IF($B$701=$B$593,D597,0)+IF($B$701=$B$620,D624,0)+IF($B$701=$B$647,D651,0)+IF($B$701=$B$674,D678,0)</f>
        <v>0</v>
      </c>
      <c r="E705" s="1148">
        <f t="shared" si="17"/>
        <v>260</v>
      </c>
      <c r="F705" s="1148">
        <f t="shared" si="17"/>
        <v>0</v>
      </c>
      <c r="G705" s="1148">
        <f t="shared" si="17"/>
        <v>579</v>
      </c>
      <c r="H705" s="1148">
        <f t="shared" si="17"/>
        <v>0</v>
      </c>
      <c r="I705" s="1148">
        <f t="shared" si="17"/>
        <v>551</v>
      </c>
      <c r="J705" s="1148">
        <f t="shared" si="17"/>
        <v>0</v>
      </c>
      <c r="K705" s="1148">
        <f t="shared" si="17"/>
        <v>207</v>
      </c>
      <c r="L705" s="1148">
        <f t="shared" si="17"/>
        <v>482</v>
      </c>
      <c r="M705" s="1148"/>
      <c r="N705" s="1148">
        <f aca="true" t="shared" si="18" ref="N705:V705">IF($B$701=$B$485,N489,0)+IF($B$701=$B$512,N516,0)+IF($B$701=$B$539,N543,0)+IF($B$701=$B$566,N570,0)+IF($B$701=$B$593,N597,0)+IF($B$701=$B$620,N624,0)+IF($B$701=$B$647,N651,0)+IF($B$701=$B$674,N678,0)</f>
        <v>83</v>
      </c>
      <c r="O705" s="1148">
        <f t="shared" si="18"/>
        <v>119</v>
      </c>
      <c r="P705" s="1148">
        <f t="shared" si="18"/>
        <v>76</v>
      </c>
      <c r="Q705" s="1148">
        <f t="shared" si="18"/>
        <v>155</v>
      </c>
      <c r="R705" s="1148">
        <f t="shared" si="18"/>
        <v>74</v>
      </c>
      <c r="S705" s="1148">
        <f t="shared" si="18"/>
        <v>145</v>
      </c>
      <c r="T705" s="1148">
        <f t="shared" si="18"/>
        <v>86</v>
      </c>
      <c r="U705" s="1148">
        <f t="shared" si="18"/>
        <v>114</v>
      </c>
      <c r="V705" s="1148">
        <f t="shared" si="18"/>
        <v>105</v>
      </c>
    </row>
    <row r="706" spans="2:22" ht="12.75" customHeight="1">
      <c r="B706">
        <f t="shared" si="10"/>
        <v>56</v>
      </c>
      <c r="C706">
        <v>10</v>
      </c>
      <c r="D706" s="1148">
        <f aca="true" t="shared" si="19" ref="D706:L706">IF($B$701=$B$485,D490,0)+IF($B$701=$B$512,D517,0)+IF($B$701=$B$539,D544,0)+IF($B$701=$B$566,D571,0)+IF($B$701=$B$593,D598,0)+IF($B$701=$B$620,D625,0)+IF($B$701=$B$647,D652,0)+IF($B$701=$B$674,D679,0)</f>
        <v>0</v>
      </c>
      <c r="E706" s="1148">
        <f t="shared" si="19"/>
        <v>93</v>
      </c>
      <c r="F706" s="1148">
        <f t="shared" si="19"/>
        <v>0</v>
      </c>
      <c r="G706" s="1148">
        <f t="shared" si="19"/>
        <v>461</v>
      </c>
      <c r="H706" s="1148">
        <f t="shared" si="19"/>
        <v>0</v>
      </c>
      <c r="I706" s="1148">
        <f t="shared" si="19"/>
        <v>551</v>
      </c>
      <c r="J706" s="1148">
        <f t="shared" si="19"/>
        <v>91</v>
      </c>
      <c r="K706" s="1148">
        <f t="shared" si="19"/>
        <v>327</v>
      </c>
      <c r="L706" s="1148">
        <f t="shared" si="19"/>
        <v>572</v>
      </c>
      <c r="M706" s="1148"/>
      <c r="N706" s="1148">
        <f aca="true" t="shared" si="20" ref="N706:V706">IF($B$701=$B$485,N490,0)+IF($B$701=$B$512,N517,0)+IF($B$701=$B$539,N544,0)+IF($B$701=$B$566,N571,0)+IF($B$701=$B$593,N598,0)+IF($B$701=$B$620,N625,0)+IF($B$701=$B$647,N652,0)+IF($B$701=$B$674,N679,0)</f>
        <v>78</v>
      </c>
      <c r="O706" s="1148">
        <f t="shared" si="20"/>
        <v>95</v>
      </c>
      <c r="P706" s="1148">
        <f t="shared" si="20"/>
        <v>77</v>
      </c>
      <c r="Q706" s="1148">
        <f t="shared" si="20"/>
        <v>121</v>
      </c>
      <c r="R706" s="1148">
        <f t="shared" si="20"/>
        <v>76</v>
      </c>
      <c r="S706" s="1148">
        <f t="shared" si="20"/>
        <v>138</v>
      </c>
      <c r="T706" s="1148">
        <f t="shared" si="20"/>
        <v>92</v>
      </c>
      <c r="U706" s="1148">
        <f t="shared" si="20"/>
        <v>120</v>
      </c>
      <c r="V706" s="1148">
        <f t="shared" si="20"/>
        <v>119</v>
      </c>
    </row>
    <row r="707" spans="2:22" ht="12.75" customHeight="1">
      <c r="B707">
        <f t="shared" si="10"/>
        <v>56</v>
      </c>
      <c r="C707">
        <v>11</v>
      </c>
      <c r="D707" s="1148">
        <f aca="true" t="shared" si="21" ref="D707:L707">IF($B$701=$B$485,D491,0)+IF($B$701=$B$512,D518,0)+IF($B$701=$B$539,D545,0)+IF($B$701=$B$566,D572,0)+IF($B$701=$B$593,D599,0)+IF($B$701=$B$620,D626,0)+IF($B$701=$B$647,D653,0)+IF($B$701=$B$674,D680,0)</f>
        <v>0</v>
      </c>
      <c r="E707" s="1148">
        <f t="shared" si="21"/>
        <v>0</v>
      </c>
      <c r="F707" s="1148">
        <f t="shared" si="21"/>
        <v>0</v>
      </c>
      <c r="G707" s="1148">
        <f t="shared" si="21"/>
        <v>283</v>
      </c>
      <c r="H707" s="1148">
        <f t="shared" si="21"/>
        <v>0</v>
      </c>
      <c r="I707" s="1148">
        <f t="shared" si="21"/>
        <v>502</v>
      </c>
      <c r="J707" s="1148">
        <f t="shared" si="21"/>
        <v>260</v>
      </c>
      <c r="K707" s="1148">
        <f t="shared" si="21"/>
        <v>428</v>
      </c>
      <c r="L707" s="1148">
        <f t="shared" si="21"/>
        <v>650</v>
      </c>
      <c r="M707" s="1148"/>
      <c r="N707" s="1148">
        <f aca="true" t="shared" si="22" ref="N707:V707">IF($B$701=$B$485,N491,0)+IF($B$701=$B$512,N518,0)+IF($B$701=$B$539,N545,0)+IF($B$701=$B$566,N572,0)+IF($B$701=$B$593,N599,0)+IF($B$701=$B$620,N626,0)+IF($B$701=$B$647,N653,0)+IF($B$701=$B$674,N680,0)</f>
        <v>77</v>
      </c>
      <c r="O707" s="1148">
        <f t="shared" si="22"/>
        <v>84</v>
      </c>
      <c r="P707" s="1148">
        <f t="shared" si="22"/>
        <v>78</v>
      </c>
      <c r="Q707" s="1148">
        <f t="shared" si="22"/>
        <v>102</v>
      </c>
      <c r="R707" s="1148">
        <f t="shared" si="22"/>
        <v>79</v>
      </c>
      <c r="S707" s="1148">
        <f t="shared" si="22"/>
        <v>124</v>
      </c>
      <c r="T707" s="1148">
        <f t="shared" si="22"/>
        <v>98</v>
      </c>
      <c r="U707" s="1148">
        <f t="shared" si="22"/>
        <v>122</v>
      </c>
      <c r="V707" s="1148">
        <f t="shared" si="22"/>
        <v>122</v>
      </c>
    </row>
    <row r="708" spans="2:22" ht="12.75" customHeight="1">
      <c r="B708">
        <f t="shared" si="10"/>
        <v>56</v>
      </c>
      <c r="C708">
        <v>12</v>
      </c>
      <c r="D708" s="1148">
        <f aca="true" t="shared" si="23" ref="D708:L708">IF($B$701=$B$485,D492,0)+IF($B$701=$B$512,D519,0)+IF($B$701=$B$539,D546,0)+IF($B$701=$B$566,D573,0)+IF($B$701=$B$593,D600,0)+IF($B$701=$B$620,D627,0)+IF($B$701=$B$647,D654,0)+IF($B$701=$B$674,D681,0)</f>
        <v>0</v>
      </c>
      <c r="E708" s="1148">
        <f t="shared" si="23"/>
        <v>0</v>
      </c>
      <c r="F708" s="1148">
        <f t="shared" si="23"/>
        <v>0</v>
      </c>
      <c r="G708" s="1148">
        <f t="shared" si="23"/>
        <v>105</v>
      </c>
      <c r="H708" s="1148">
        <f t="shared" si="23"/>
        <v>0</v>
      </c>
      <c r="I708" s="1148">
        <f t="shared" si="23"/>
        <v>413</v>
      </c>
      <c r="J708" s="1148">
        <f t="shared" si="23"/>
        <v>413</v>
      </c>
      <c r="K708" s="1148">
        <f t="shared" si="23"/>
        <v>479</v>
      </c>
      <c r="L708" s="1148">
        <f t="shared" si="23"/>
        <v>691</v>
      </c>
      <c r="M708" s="1148"/>
      <c r="N708" s="1148">
        <f aca="true" t="shared" si="24" ref="N708:V708">IF($B$701=$B$485,N492,0)+IF($B$701=$B$512,N519,0)+IF($B$701=$B$539,N546,0)+IF($B$701=$B$566,N573,0)+IF($B$701=$B$593,N600,0)+IF($B$701=$B$620,N627,0)+IF($B$701=$B$647,N654,0)+IF($B$701=$B$674,N681,0)</f>
        <v>74</v>
      </c>
      <c r="O708" s="1148">
        <f t="shared" si="24"/>
        <v>80</v>
      </c>
      <c r="P708" s="1148">
        <f t="shared" si="24"/>
        <v>79</v>
      </c>
      <c r="Q708" s="1148">
        <f t="shared" si="24"/>
        <v>91</v>
      </c>
      <c r="R708" s="1148">
        <f t="shared" si="24"/>
        <v>85</v>
      </c>
      <c r="S708" s="1148">
        <f t="shared" si="24"/>
        <v>107</v>
      </c>
      <c r="T708" s="1148">
        <f t="shared" si="24"/>
        <v>102</v>
      </c>
      <c r="U708" s="1148">
        <f t="shared" si="24"/>
        <v>124</v>
      </c>
      <c r="V708" s="1148">
        <f t="shared" si="24"/>
        <v>126</v>
      </c>
    </row>
    <row r="709" spans="2:22" ht="12.75" customHeight="1">
      <c r="B709">
        <f t="shared" si="10"/>
        <v>56</v>
      </c>
      <c r="C709">
        <v>13</v>
      </c>
      <c r="D709" s="1148">
        <f aca="true" t="shared" si="25" ref="D709:L709">IF($B$701=$B$485,D493,0)+IF($B$701=$B$512,D520,0)+IF($B$701=$B$539,D547,0)+IF($B$701=$B$566,D574,0)+IF($B$701=$B$593,D601,0)+IF($B$701=$B$620,D628,0)+IF($B$701=$B$647,D655,0)+IF($B$701=$B$674,D682,0)</f>
        <v>0</v>
      </c>
      <c r="E709" s="1148">
        <f t="shared" si="25"/>
        <v>0</v>
      </c>
      <c r="F709" s="1148">
        <f t="shared" si="25"/>
        <v>0</v>
      </c>
      <c r="G709" s="1148">
        <f t="shared" si="25"/>
        <v>0</v>
      </c>
      <c r="H709" s="1148">
        <f t="shared" si="25"/>
        <v>105</v>
      </c>
      <c r="I709" s="1148">
        <f t="shared" si="25"/>
        <v>260</v>
      </c>
      <c r="J709" s="1148">
        <f t="shared" si="25"/>
        <v>502</v>
      </c>
      <c r="K709" s="1148">
        <f t="shared" si="25"/>
        <v>479</v>
      </c>
      <c r="L709" s="1148">
        <f t="shared" si="25"/>
        <v>691</v>
      </c>
      <c r="M709" s="1148"/>
      <c r="N709" s="1148">
        <f aca="true" t="shared" si="26" ref="N709:V709">IF($B$701=$B$485,N493,0)+IF($B$701=$B$512,N520,0)+IF($B$701=$B$539,N547,0)+IF($B$701=$B$566,N574,0)+IF($B$701=$B$593,N601,0)+IF($B$701=$B$620,N628,0)+IF($B$701=$B$647,N655,0)+IF($B$701=$B$674,N682,0)</f>
        <v>74</v>
      </c>
      <c r="O709" s="1148">
        <f t="shared" si="26"/>
        <v>79</v>
      </c>
      <c r="P709" s="1148">
        <f t="shared" si="26"/>
        <v>80</v>
      </c>
      <c r="Q709" s="1148">
        <f t="shared" si="26"/>
        <v>85</v>
      </c>
      <c r="R709" s="1148">
        <f t="shared" si="26"/>
        <v>91</v>
      </c>
      <c r="S709" s="1148">
        <f t="shared" si="26"/>
        <v>102</v>
      </c>
      <c r="T709" s="1148">
        <f t="shared" si="26"/>
        <v>107</v>
      </c>
      <c r="U709" s="1148">
        <f t="shared" si="26"/>
        <v>124</v>
      </c>
      <c r="V709" s="1148">
        <f t="shared" si="26"/>
        <v>126</v>
      </c>
    </row>
    <row r="710" spans="2:22" ht="12.75" customHeight="1">
      <c r="B710">
        <f t="shared" si="10"/>
        <v>56</v>
      </c>
      <c r="C710">
        <v>14</v>
      </c>
      <c r="D710" s="1148">
        <f aca="true" t="shared" si="27" ref="D710:L710">IF($B$701=$B$485,D494,0)+IF($B$701=$B$512,D521,0)+IF($B$701=$B$539,D548,0)+IF($B$701=$B$566,D575,0)+IF($B$701=$B$593,D602,0)+IF($B$701=$B$620,D629,0)+IF($B$701=$B$647,D656,0)+IF($B$701=$B$674,D683,0)</f>
        <v>0</v>
      </c>
      <c r="E710" s="1148">
        <f t="shared" si="27"/>
        <v>0</v>
      </c>
      <c r="F710" s="1148">
        <f t="shared" si="27"/>
        <v>0</v>
      </c>
      <c r="G710" s="1148">
        <f t="shared" si="27"/>
        <v>0</v>
      </c>
      <c r="H710" s="1148">
        <f t="shared" si="27"/>
        <v>283</v>
      </c>
      <c r="I710" s="1148">
        <f t="shared" si="27"/>
        <v>91</v>
      </c>
      <c r="J710" s="1148">
        <f t="shared" si="27"/>
        <v>551</v>
      </c>
      <c r="K710" s="1148">
        <f t="shared" si="27"/>
        <v>428</v>
      </c>
      <c r="L710" s="1148">
        <f t="shared" si="27"/>
        <v>650</v>
      </c>
      <c r="M710" s="1148"/>
      <c r="N710" s="1148">
        <f aca="true" t="shared" si="28" ref="N710:V710">IF($B$701=$B$485,N494,0)+IF($B$701=$B$512,N521,0)+IF($B$701=$B$539,N548,0)+IF($B$701=$B$566,N575,0)+IF($B$701=$B$593,N602,0)+IF($B$701=$B$620,N629,0)+IF($B$701=$B$647,N656,0)+IF($B$701=$B$674,N683,0)</f>
        <v>77</v>
      </c>
      <c r="O710" s="1148">
        <f t="shared" si="28"/>
        <v>78</v>
      </c>
      <c r="P710" s="1148">
        <f t="shared" si="28"/>
        <v>84</v>
      </c>
      <c r="Q710" s="1148">
        <f t="shared" si="28"/>
        <v>79</v>
      </c>
      <c r="R710" s="1148">
        <f t="shared" si="28"/>
        <v>102</v>
      </c>
      <c r="S710" s="1148">
        <f t="shared" si="28"/>
        <v>98</v>
      </c>
      <c r="T710" s="1148">
        <f t="shared" si="28"/>
        <v>124</v>
      </c>
      <c r="U710" s="1148">
        <f t="shared" si="28"/>
        <v>122</v>
      </c>
      <c r="V710" s="1148">
        <f t="shared" si="28"/>
        <v>122</v>
      </c>
    </row>
    <row r="711" spans="2:22" ht="12.75" customHeight="1">
      <c r="B711">
        <f t="shared" si="10"/>
        <v>56</v>
      </c>
      <c r="C711">
        <v>15</v>
      </c>
      <c r="D711" s="1148">
        <f aca="true" t="shared" si="29" ref="D711:L711">IF($B$701=$B$485,D495,0)+IF($B$701=$B$512,D522,0)+IF($B$701=$B$539,D549,0)+IF($B$701=$B$566,D576,0)+IF($B$701=$B$593,D603,0)+IF($B$701=$B$620,D630,0)+IF($B$701=$B$647,D657,0)+IF($B$701=$B$674,D684,0)</f>
        <v>0</v>
      </c>
      <c r="E711" s="1148">
        <f t="shared" si="29"/>
        <v>0</v>
      </c>
      <c r="F711" s="1148">
        <f t="shared" si="29"/>
        <v>93</v>
      </c>
      <c r="G711" s="1148">
        <f t="shared" si="29"/>
        <v>0</v>
      </c>
      <c r="H711" s="1148">
        <f t="shared" si="29"/>
        <v>461</v>
      </c>
      <c r="I711" s="1148">
        <f t="shared" si="29"/>
        <v>0</v>
      </c>
      <c r="J711" s="1148">
        <f t="shared" si="29"/>
        <v>551</v>
      </c>
      <c r="K711" s="1148">
        <f t="shared" si="29"/>
        <v>327</v>
      </c>
      <c r="L711" s="1148">
        <f t="shared" si="29"/>
        <v>572</v>
      </c>
      <c r="M711" s="1148"/>
      <c r="N711" s="1148">
        <f aca="true" t="shared" si="30" ref="N711:V711">IF($B$701=$B$485,N495,0)+IF($B$701=$B$512,N522,0)+IF($B$701=$B$539,N549,0)+IF($B$701=$B$566,N576,0)+IF($B$701=$B$593,N603,0)+IF($B$701=$B$620,N630,0)+IF($B$701=$B$647,N657,0)+IF($B$701=$B$674,N684,0)</f>
        <v>78</v>
      </c>
      <c r="O711" s="1148">
        <f t="shared" si="30"/>
        <v>77</v>
      </c>
      <c r="P711" s="1148">
        <f t="shared" si="30"/>
        <v>95</v>
      </c>
      <c r="Q711" s="1148">
        <f t="shared" si="30"/>
        <v>76</v>
      </c>
      <c r="R711" s="1148">
        <f t="shared" si="30"/>
        <v>121</v>
      </c>
      <c r="S711" s="1148">
        <f t="shared" si="30"/>
        <v>92</v>
      </c>
      <c r="T711" s="1148">
        <f t="shared" si="30"/>
        <v>138</v>
      </c>
      <c r="U711" s="1148">
        <f t="shared" si="30"/>
        <v>120</v>
      </c>
      <c r="V711" s="1148">
        <f t="shared" si="30"/>
        <v>119</v>
      </c>
    </row>
    <row r="712" spans="2:22" ht="12.75" customHeight="1">
      <c r="B712">
        <f t="shared" si="10"/>
        <v>56</v>
      </c>
      <c r="C712">
        <v>16</v>
      </c>
      <c r="D712" s="1148">
        <f aca="true" t="shared" si="31" ref="D712:L712">IF($B$701=$B$485,D496,0)+IF($B$701=$B$512,D523,0)+IF($B$701=$B$539,D550,0)+IF($B$701=$B$566,D577,0)+IF($B$701=$B$593,D604,0)+IF($B$701=$B$620,D631,0)+IF($B$701=$B$647,D658,0)+IF($B$701=$B$674,D685,0)</f>
        <v>0</v>
      </c>
      <c r="E712" s="1148">
        <f t="shared" si="31"/>
        <v>0</v>
      </c>
      <c r="F712" s="1148">
        <f t="shared" si="31"/>
        <v>260</v>
      </c>
      <c r="G712" s="1148">
        <f t="shared" si="31"/>
        <v>0</v>
      </c>
      <c r="H712" s="1148">
        <f t="shared" si="31"/>
        <v>579</v>
      </c>
      <c r="I712" s="1148">
        <f t="shared" si="31"/>
        <v>0</v>
      </c>
      <c r="J712" s="1148">
        <f t="shared" si="31"/>
        <v>488</v>
      </c>
      <c r="K712" s="1148">
        <f t="shared" si="31"/>
        <v>207</v>
      </c>
      <c r="L712" s="1148">
        <f t="shared" si="31"/>
        <v>482</v>
      </c>
      <c r="M712" s="1148"/>
      <c r="N712" s="1148">
        <f aca="true" t="shared" si="32" ref="N712:V712">IF($B$701=$B$485,N496,0)+IF($B$701=$B$512,N523,0)+IF($B$701=$B$539,N550,0)+IF($B$701=$B$566,N577,0)+IF($B$701=$B$593,N604,0)+IF($B$701=$B$620,N631,0)+IF($B$701=$B$647,N658,0)+IF($B$701=$B$674,N685,0)</f>
        <v>83</v>
      </c>
      <c r="O712" s="1148">
        <f t="shared" si="32"/>
        <v>76</v>
      </c>
      <c r="P712" s="1148">
        <f t="shared" si="32"/>
        <v>119</v>
      </c>
      <c r="Q712" s="1148">
        <f t="shared" si="32"/>
        <v>74</v>
      </c>
      <c r="R712" s="1148">
        <f t="shared" si="32"/>
        <v>155</v>
      </c>
      <c r="S712" s="1148">
        <f t="shared" si="32"/>
        <v>86</v>
      </c>
      <c r="T712" s="1148">
        <f t="shared" si="32"/>
        <v>145</v>
      </c>
      <c r="U712" s="1148">
        <f t="shared" si="32"/>
        <v>114</v>
      </c>
      <c r="V712" s="1148">
        <f t="shared" si="32"/>
        <v>105</v>
      </c>
    </row>
    <row r="713" spans="2:22" ht="12.75" customHeight="1">
      <c r="B713">
        <f t="shared" si="10"/>
        <v>56</v>
      </c>
      <c r="C713">
        <v>17</v>
      </c>
      <c r="D713" s="1148">
        <f aca="true" t="shared" si="33" ref="D713:L713">IF($B$701=$B$485,D497,0)+IF($B$701=$B$512,D524,0)+IF($B$701=$B$539,D551,0)+IF($B$701=$B$566,D578,0)+IF($B$701=$B$593,D605,0)+IF($B$701=$B$620,D632,0)+IF($B$701=$B$647,D659,0)+IF($B$701=$B$674,D686,0)</f>
        <v>0</v>
      </c>
      <c r="E713" s="1148">
        <f t="shared" si="33"/>
        <v>0</v>
      </c>
      <c r="F713" s="1148">
        <f t="shared" si="33"/>
        <v>414</v>
      </c>
      <c r="G713" s="1148">
        <f t="shared" si="33"/>
        <v>0</v>
      </c>
      <c r="H713" s="1148">
        <f t="shared" si="33"/>
        <v>621</v>
      </c>
      <c r="I713" s="1148">
        <f t="shared" si="33"/>
        <v>0</v>
      </c>
      <c r="J713" s="1148">
        <f t="shared" si="33"/>
        <v>346</v>
      </c>
      <c r="K713" s="1148">
        <f t="shared" si="33"/>
        <v>83</v>
      </c>
      <c r="L713" s="1148">
        <f t="shared" si="33"/>
        <v>359</v>
      </c>
      <c r="M713" s="1148"/>
      <c r="N713" s="1148">
        <f aca="true" t="shared" si="34" ref="N713:V713">IF($B$701=$B$485,N497,0)+IF($B$701=$B$512,N524,0)+IF($B$701=$B$539,N551,0)+IF($B$701=$B$566,N578,0)+IF($B$701=$B$593,N605,0)+IF($B$701=$B$620,N632,0)+IF($B$701=$B$647,N659,0)+IF($B$701=$B$674,N686,0)</f>
        <v>87</v>
      </c>
      <c r="O713" s="1148">
        <f t="shared" si="34"/>
        <v>72</v>
      </c>
      <c r="P713" s="1148">
        <f t="shared" si="34"/>
        <v>133</v>
      </c>
      <c r="Q713" s="1148">
        <f t="shared" si="34"/>
        <v>65</v>
      </c>
      <c r="R713" s="1148">
        <f t="shared" si="34"/>
        <v>165</v>
      </c>
      <c r="S713" s="1148">
        <f t="shared" si="34"/>
        <v>72</v>
      </c>
      <c r="T713" s="1148">
        <f t="shared" si="34"/>
        <v>142</v>
      </c>
      <c r="U713" s="1148">
        <f t="shared" si="34"/>
        <v>101</v>
      </c>
      <c r="V713" s="1148">
        <f t="shared" si="34"/>
        <v>96</v>
      </c>
    </row>
    <row r="714" spans="2:22" ht="12.75" customHeight="1">
      <c r="B714">
        <f t="shared" si="10"/>
        <v>56</v>
      </c>
      <c r="C714">
        <v>18</v>
      </c>
      <c r="D714" s="1148">
        <f aca="true" t="shared" si="35" ref="D714:L714">IF($B$701=$B$485,D498,0)+IF($B$701=$B$512,D525,0)+IF($B$701=$B$539,D552,0)+IF($B$701=$B$566,D579,0)+IF($B$701=$B$593,D606,0)+IF($B$701=$B$620,D633,0)+IF($B$701=$B$647,D660,0)+IF($B$701=$B$674,D687,0)</f>
        <v>64</v>
      </c>
      <c r="E714" s="1148">
        <f t="shared" si="35"/>
        <v>0</v>
      </c>
      <c r="F714" s="1148">
        <f t="shared" si="35"/>
        <v>460</v>
      </c>
      <c r="G714" s="1148">
        <f t="shared" si="35"/>
        <v>0</v>
      </c>
      <c r="H714" s="1148">
        <f t="shared" si="35"/>
        <v>594</v>
      </c>
      <c r="I714" s="1148">
        <f t="shared" si="35"/>
        <v>0</v>
      </c>
      <c r="J714" s="1148">
        <f t="shared" si="35"/>
        <v>184</v>
      </c>
      <c r="K714" s="1148">
        <f t="shared" si="35"/>
        <v>0</v>
      </c>
      <c r="L714" s="1148">
        <f t="shared" si="35"/>
        <v>237</v>
      </c>
      <c r="M714" s="1148"/>
      <c r="N714" s="1148">
        <f aca="true" t="shared" si="36" ref="N714:V714">IF($B$701=$B$485,N498,0)+IF($B$701=$B$512,N525,0)+IF($B$701=$B$539,N552,0)+IF($B$701=$B$566,N579,0)+IF($B$701=$B$593,N606,0)+IF($B$701=$B$620,N633,0)+IF($B$701=$B$647,N660,0)+IF($B$701=$B$674,N687,0)</f>
        <v>90</v>
      </c>
      <c r="O714" s="1148">
        <f t="shared" si="36"/>
        <v>59</v>
      </c>
      <c r="P714" s="1148">
        <f t="shared" si="36"/>
        <v>125</v>
      </c>
      <c r="Q714" s="1148">
        <f t="shared" si="36"/>
        <v>58</v>
      </c>
      <c r="R714" s="1148">
        <f t="shared" si="36"/>
        <v>156</v>
      </c>
      <c r="S714" s="1148">
        <f t="shared" si="36"/>
        <v>56</v>
      </c>
      <c r="T714" s="1148">
        <f t="shared" si="36"/>
        <v>121</v>
      </c>
      <c r="U714" s="1148">
        <f t="shared" si="36"/>
        <v>78</v>
      </c>
      <c r="V714" s="1148">
        <f t="shared" si="36"/>
        <v>77</v>
      </c>
    </row>
    <row r="715" spans="2:22" ht="12.75" customHeight="1">
      <c r="B715">
        <f t="shared" si="10"/>
        <v>56</v>
      </c>
      <c r="C715">
        <v>19</v>
      </c>
      <c r="D715" s="1148">
        <f aca="true" t="shared" si="37" ref="D715:L715">IF($B$701=$B$485,D499,0)+IF($B$701=$B$512,D526,0)+IF($B$701=$B$539,D553,0)+IF($B$701=$B$566,D580,0)+IF($B$701=$B$593,D607,0)+IF($B$701=$B$620,D634,0)+IF($B$701=$B$647,D661,0)+IF($B$701=$B$674,D688,0)</f>
        <v>159</v>
      </c>
      <c r="E715" s="1148">
        <f t="shared" si="37"/>
        <v>0</v>
      </c>
      <c r="F715" s="1148">
        <f t="shared" si="37"/>
        <v>391</v>
      </c>
      <c r="G715" s="1148">
        <f t="shared" si="37"/>
        <v>0</v>
      </c>
      <c r="H715" s="1148">
        <f t="shared" si="37"/>
        <v>482</v>
      </c>
      <c r="I715" s="1148">
        <f t="shared" si="37"/>
        <v>0</v>
      </c>
      <c r="J715" s="1148">
        <f t="shared" si="37"/>
        <v>23</v>
      </c>
      <c r="K715" s="1148">
        <f t="shared" si="37"/>
        <v>0</v>
      </c>
      <c r="L715" s="1148">
        <f t="shared" si="37"/>
        <v>140</v>
      </c>
      <c r="M715" s="1148"/>
      <c r="N715" s="1148">
        <f aca="true" t="shared" si="38" ref="N715:V715">IF($B$701=$B$485,N499,0)+IF($B$701=$B$512,N526,0)+IF($B$701=$B$539,N553,0)+IF($B$701=$B$566,N580,0)+IF($B$701=$B$593,N607,0)+IF($B$701=$B$620,N634,0)+IF($B$701=$B$647,N661,0)+IF($B$701=$B$674,N688,0)</f>
        <v>76</v>
      </c>
      <c r="O715" s="1148">
        <f t="shared" si="38"/>
        <v>41</v>
      </c>
      <c r="P715" s="1148">
        <f t="shared" si="38"/>
        <v>95</v>
      </c>
      <c r="Q715" s="1148">
        <f t="shared" si="38"/>
        <v>41</v>
      </c>
      <c r="R715" s="1148">
        <f t="shared" si="38"/>
        <v>101</v>
      </c>
      <c r="S715" s="1148">
        <f t="shared" si="38"/>
        <v>37</v>
      </c>
      <c r="T715" s="1148">
        <f t="shared" si="38"/>
        <v>77</v>
      </c>
      <c r="U715" s="1148">
        <f t="shared" si="38"/>
        <v>46</v>
      </c>
      <c r="V715" s="1148">
        <f t="shared" si="38"/>
        <v>56</v>
      </c>
    </row>
    <row r="716" spans="2:22" ht="12.75" customHeight="1">
      <c r="B716">
        <f>$C$696</f>
        <v>56</v>
      </c>
      <c r="C716">
        <v>20</v>
      </c>
      <c r="D716" s="1148">
        <f aca="true" t="shared" si="39" ref="D716:L716">IF($B$701=$B$485,D500,0)+IF($B$701=$B$512,D527,0)+IF($B$701=$B$539,D554,0)+IF($B$701=$B$566,D581,0)+IF($B$701=$B$593,D608,0)+IF($B$701=$B$620,D635,0)+IF($B$701=$B$647,D662,0)+IF($B$701=$B$674,D689,0)</f>
        <v>136</v>
      </c>
      <c r="E716" s="1148">
        <f t="shared" si="39"/>
        <v>0</v>
      </c>
      <c r="F716" s="1148">
        <f t="shared" si="39"/>
        <v>187</v>
      </c>
      <c r="G716" s="1148">
        <f t="shared" si="39"/>
        <v>0</v>
      </c>
      <c r="H716" s="1148">
        <f t="shared" si="39"/>
        <v>258</v>
      </c>
      <c r="I716" s="1148">
        <f t="shared" si="39"/>
        <v>0</v>
      </c>
      <c r="J716" s="1148">
        <f t="shared" si="39"/>
        <v>0</v>
      </c>
      <c r="K716" s="1148">
        <f t="shared" si="39"/>
        <v>0</v>
      </c>
      <c r="L716" s="1148">
        <f t="shared" si="39"/>
        <v>62</v>
      </c>
      <c r="M716" s="1148"/>
      <c r="N716" s="1148">
        <f aca="true" t="shared" si="40" ref="N716:V716">IF($B$701=$B$485,N500,0)+IF($B$701=$B$512,N527,0)+IF($B$701=$B$539,N554,0)+IF($B$701=$B$566,N581,0)+IF($B$701=$B$593,N608,0)+IF($B$701=$B$620,N635,0)+IF($B$701=$B$647,N662,0)+IF($B$701=$B$674,N689,0)</f>
        <v>26</v>
      </c>
      <c r="O716" s="1148">
        <f t="shared" si="40"/>
        <v>16</v>
      </c>
      <c r="P716" s="1148">
        <f t="shared" si="40"/>
        <v>44</v>
      </c>
      <c r="Q716" s="1148">
        <f t="shared" si="40"/>
        <v>17</v>
      </c>
      <c r="R716" s="1148">
        <f t="shared" si="40"/>
        <v>36</v>
      </c>
      <c r="S716" s="1148">
        <f t="shared" si="40"/>
        <v>17</v>
      </c>
      <c r="T716" s="1148">
        <f t="shared" si="40"/>
        <v>27</v>
      </c>
      <c r="U716" s="1148">
        <f t="shared" si="40"/>
        <v>16</v>
      </c>
      <c r="V716" s="1148">
        <f t="shared" si="40"/>
        <v>27</v>
      </c>
    </row>
    <row r="717" spans="2:22" ht="12.75" customHeight="1">
      <c r="B717">
        <f aca="true" t="shared" si="41" ref="B717:B722">$C$696</f>
        <v>56</v>
      </c>
      <c r="C717">
        <v>21</v>
      </c>
      <c r="D717" s="1148">
        <f aca="true" t="shared" si="42" ref="D717:L717">IF($B$701=$B$485,D501,0)+IF($B$701=$B$512,D528,0)+IF($B$701=$B$539,D555,0)+IF($B$701=$B$566,D582,0)+IF($B$701=$B$593,D609,0)+IF($B$701=$B$620,D636,0)+IF($B$701=$B$647,D663,0)+IF($B$701=$B$674,D690,0)</f>
        <v>0</v>
      </c>
      <c r="E717" s="1148">
        <f t="shared" si="42"/>
        <v>0</v>
      </c>
      <c r="F717" s="1148">
        <f t="shared" si="42"/>
        <v>0</v>
      </c>
      <c r="G717" s="1148">
        <f t="shared" si="42"/>
        <v>0</v>
      </c>
      <c r="H717" s="1148">
        <f t="shared" si="42"/>
        <v>0</v>
      </c>
      <c r="I717" s="1148">
        <f t="shared" si="42"/>
        <v>0</v>
      </c>
      <c r="J717" s="1148">
        <f t="shared" si="42"/>
        <v>0</v>
      </c>
      <c r="K717" s="1148">
        <f t="shared" si="42"/>
        <v>0</v>
      </c>
      <c r="L717" s="1148">
        <f t="shared" si="42"/>
        <v>0</v>
      </c>
      <c r="M717" s="1148"/>
      <c r="N717" s="1148">
        <f aca="true" t="shared" si="43" ref="N717:V717">IF($B$701=$B$485,N501,0)+IF($B$701=$B$512,N528,0)+IF($B$701=$B$539,N555,0)+IF($B$701=$B$566,N582,0)+IF($B$701=$B$593,N609,0)+IF($B$701=$B$620,N636,0)+IF($B$701=$B$647,N663,0)+IF($B$701=$B$674,N690,0)</f>
        <v>0</v>
      </c>
      <c r="O717" s="1148">
        <f t="shared" si="43"/>
        <v>0</v>
      </c>
      <c r="P717" s="1148">
        <f t="shared" si="43"/>
        <v>0</v>
      </c>
      <c r="Q717" s="1148">
        <f t="shared" si="43"/>
        <v>0</v>
      </c>
      <c r="R717" s="1148">
        <f t="shared" si="43"/>
        <v>0</v>
      </c>
      <c r="S717" s="1148">
        <f t="shared" si="43"/>
        <v>0</v>
      </c>
      <c r="T717" s="1148">
        <f t="shared" si="43"/>
        <v>0</v>
      </c>
      <c r="U717" s="1148">
        <f t="shared" si="43"/>
        <v>0</v>
      </c>
      <c r="V717" s="1148">
        <f t="shared" si="43"/>
        <v>0</v>
      </c>
    </row>
    <row r="718" spans="2:22" ht="12.75" customHeight="1">
      <c r="B718">
        <f t="shared" si="41"/>
        <v>56</v>
      </c>
      <c r="C718">
        <v>22</v>
      </c>
      <c r="D718" s="1148">
        <f aca="true" t="shared" si="44" ref="D718:L718">IF($B$701=$B$485,D502,0)+IF($B$701=$B$512,D529,0)+IF($B$701=$B$539,D556,0)+IF($B$701=$B$566,D583,0)+IF($B$701=$B$593,D610,0)+IF($B$701=$B$620,D637,0)+IF($B$701=$B$647,D664,0)+IF($B$701=$B$674,D691,0)</f>
        <v>0</v>
      </c>
      <c r="E718" s="1148">
        <f t="shared" si="44"/>
        <v>0</v>
      </c>
      <c r="F718" s="1148">
        <f t="shared" si="44"/>
        <v>0</v>
      </c>
      <c r="G718" s="1148">
        <f t="shared" si="44"/>
        <v>0</v>
      </c>
      <c r="H718" s="1148">
        <f t="shared" si="44"/>
        <v>0</v>
      </c>
      <c r="I718" s="1148">
        <f t="shared" si="44"/>
        <v>0</v>
      </c>
      <c r="J718" s="1148">
        <f t="shared" si="44"/>
        <v>0</v>
      </c>
      <c r="K718" s="1148">
        <f t="shared" si="44"/>
        <v>0</v>
      </c>
      <c r="L718" s="1148">
        <f t="shared" si="44"/>
        <v>0</v>
      </c>
      <c r="M718" s="1148"/>
      <c r="N718" s="1148">
        <f aca="true" t="shared" si="45" ref="N718:V718">IF($B$701=$B$485,N502,0)+IF($B$701=$B$512,N529,0)+IF($B$701=$B$539,N556,0)+IF($B$701=$B$566,N583,0)+IF($B$701=$B$593,N610,0)+IF($B$701=$B$620,N637,0)+IF($B$701=$B$647,N664,0)+IF($B$701=$B$674,N691,0)</f>
        <v>0</v>
      </c>
      <c r="O718" s="1148">
        <f t="shared" si="45"/>
        <v>0</v>
      </c>
      <c r="P718" s="1148">
        <f t="shared" si="45"/>
        <v>0</v>
      </c>
      <c r="Q718" s="1148">
        <f t="shared" si="45"/>
        <v>0</v>
      </c>
      <c r="R718" s="1148">
        <f t="shared" si="45"/>
        <v>0</v>
      </c>
      <c r="S718" s="1148">
        <f t="shared" si="45"/>
        <v>0</v>
      </c>
      <c r="T718" s="1148">
        <f t="shared" si="45"/>
        <v>0</v>
      </c>
      <c r="U718" s="1148">
        <f t="shared" si="45"/>
        <v>0</v>
      </c>
      <c r="V718" s="1148">
        <f t="shared" si="45"/>
        <v>0</v>
      </c>
    </row>
    <row r="719" spans="2:22" ht="12.75" customHeight="1">
      <c r="B719">
        <f t="shared" si="41"/>
        <v>56</v>
      </c>
      <c r="C719">
        <v>23</v>
      </c>
      <c r="D719" s="1148">
        <f aca="true" t="shared" si="46" ref="D719:L719">IF($B$701=$B$485,D503,0)+IF($B$701=$B$512,D530,0)+IF($B$701=$B$539,D557,0)+IF($B$701=$B$566,D584,0)+IF($B$701=$B$593,D611,0)+IF($B$701=$B$620,D638,0)+IF($B$701=$B$647,D665,0)+IF($B$701=$B$674,D692,0)</f>
        <v>0</v>
      </c>
      <c r="E719" s="1148">
        <f t="shared" si="46"/>
        <v>0</v>
      </c>
      <c r="F719" s="1148">
        <f t="shared" si="46"/>
        <v>0</v>
      </c>
      <c r="G719" s="1148">
        <f t="shared" si="46"/>
        <v>0</v>
      </c>
      <c r="H719" s="1148">
        <f t="shared" si="46"/>
        <v>0</v>
      </c>
      <c r="I719" s="1148">
        <f t="shared" si="46"/>
        <v>0</v>
      </c>
      <c r="J719" s="1148">
        <f t="shared" si="46"/>
        <v>0</v>
      </c>
      <c r="K719" s="1148">
        <f t="shared" si="46"/>
        <v>0</v>
      </c>
      <c r="L719" s="1148">
        <f t="shared" si="46"/>
        <v>0</v>
      </c>
      <c r="M719" s="1148"/>
      <c r="N719" s="1148">
        <f aca="true" t="shared" si="47" ref="N719:V719">IF($B$701=$B$485,N503,0)+IF($B$701=$B$512,N530,0)+IF($B$701=$B$539,N557,0)+IF($B$701=$B$566,N584,0)+IF($B$701=$B$593,N611,0)+IF($B$701=$B$620,N638,0)+IF($B$701=$B$647,N665,0)+IF($B$701=$B$674,N692,0)</f>
        <v>0</v>
      </c>
      <c r="O719" s="1148">
        <f t="shared" si="47"/>
        <v>0</v>
      </c>
      <c r="P719" s="1148">
        <f t="shared" si="47"/>
        <v>0</v>
      </c>
      <c r="Q719" s="1148">
        <f t="shared" si="47"/>
        <v>0</v>
      </c>
      <c r="R719" s="1148">
        <f t="shared" si="47"/>
        <v>0</v>
      </c>
      <c r="S719" s="1148">
        <f t="shared" si="47"/>
        <v>0</v>
      </c>
      <c r="T719" s="1148">
        <f t="shared" si="47"/>
        <v>0</v>
      </c>
      <c r="U719" s="1148">
        <f t="shared" si="47"/>
        <v>0</v>
      </c>
      <c r="V719" s="1148">
        <f t="shared" si="47"/>
        <v>0</v>
      </c>
    </row>
    <row r="720" spans="2:22" ht="12.75" customHeight="1">
      <c r="B720">
        <f t="shared" si="41"/>
        <v>56</v>
      </c>
      <c r="C720">
        <v>24</v>
      </c>
      <c r="D720" s="1148">
        <f aca="true" t="shared" si="48" ref="D720:L720">IF($B$701=$B$485,D504,0)+IF($B$701=$B$512,D531,0)+IF($B$701=$B$539,D558,0)+IF($B$701=$B$566,D585,0)+IF($B$701=$B$593,D612,0)+IF($B$701=$B$620,D639,0)+IF($B$701=$B$647,D666,0)+IF($B$701=$B$674,D693,0)</f>
        <v>0</v>
      </c>
      <c r="E720" s="1148">
        <f t="shared" si="48"/>
        <v>0</v>
      </c>
      <c r="F720" s="1148">
        <f t="shared" si="48"/>
        <v>0</v>
      </c>
      <c r="G720" s="1148">
        <f t="shared" si="48"/>
        <v>0</v>
      </c>
      <c r="H720" s="1148">
        <f t="shared" si="48"/>
        <v>0</v>
      </c>
      <c r="I720" s="1148">
        <f t="shared" si="48"/>
        <v>0</v>
      </c>
      <c r="J720" s="1148">
        <f t="shared" si="48"/>
        <v>0</v>
      </c>
      <c r="K720" s="1148">
        <f t="shared" si="48"/>
        <v>0</v>
      </c>
      <c r="L720" s="1148">
        <f t="shared" si="48"/>
        <v>0</v>
      </c>
      <c r="M720" s="1148"/>
      <c r="N720" s="1148">
        <f aca="true" t="shared" si="49" ref="N720:V720">IF($B$701=$B$485,N504,0)+IF($B$701=$B$512,N531,0)+IF($B$701=$B$539,N558,0)+IF($B$701=$B$566,N585,0)+IF($B$701=$B$593,N612,0)+IF($B$701=$B$620,N639,0)+IF($B$701=$B$647,N666,0)+IF($B$701=$B$674,N693,0)</f>
        <v>0</v>
      </c>
      <c r="O720" s="1148">
        <f t="shared" si="49"/>
        <v>0</v>
      </c>
      <c r="P720" s="1148">
        <f t="shared" si="49"/>
        <v>0</v>
      </c>
      <c r="Q720" s="1148">
        <f t="shared" si="49"/>
        <v>0</v>
      </c>
      <c r="R720" s="1148">
        <f t="shared" si="49"/>
        <v>0</v>
      </c>
      <c r="S720" s="1148">
        <f t="shared" si="49"/>
        <v>0</v>
      </c>
      <c r="T720" s="1148">
        <f t="shared" si="49"/>
        <v>0</v>
      </c>
      <c r="U720" s="1148">
        <f t="shared" si="49"/>
        <v>0</v>
      </c>
      <c r="V720" s="1148">
        <f t="shared" si="49"/>
        <v>0</v>
      </c>
    </row>
    <row r="721" spans="2:22" ht="12.75" customHeight="1">
      <c r="B721">
        <f t="shared" si="41"/>
        <v>56</v>
      </c>
      <c r="D721" s="1148"/>
      <c r="E721" s="1148"/>
      <c r="F721" s="1148"/>
      <c r="G721" s="1148"/>
      <c r="H721" s="1148"/>
      <c r="I721" s="1148"/>
      <c r="J721" s="1148"/>
      <c r="K721" s="1148"/>
      <c r="L721" s="1148"/>
      <c r="M721" s="1148"/>
      <c r="N721" s="1148"/>
      <c r="O721" s="1148"/>
      <c r="P721" s="1148"/>
      <c r="Q721" s="1148"/>
      <c r="R721" s="1148"/>
      <c r="S721" s="1148"/>
      <c r="T721" s="1148"/>
      <c r="U721" s="1148"/>
      <c r="V721" s="1148"/>
    </row>
    <row r="722" spans="2:9" ht="12.75" customHeight="1">
      <c r="B722">
        <f t="shared" si="41"/>
        <v>56</v>
      </c>
      <c r="C722" t="e">
        <f>K475</f>
        <v>#REF!</v>
      </c>
      <c r="E722" s="1155"/>
      <c r="F722" s="1155"/>
      <c r="G722" s="1155"/>
      <c r="H722" s="1155"/>
      <c r="I722" s="1155"/>
    </row>
    <row r="723" spans="4:13" ht="12.75" customHeight="1">
      <c r="D723" s="1155"/>
      <c r="E723" s="1294" t="s">
        <v>734</v>
      </c>
      <c r="F723" s="1294"/>
      <c r="G723" s="1294"/>
      <c r="H723" s="1294"/>
      <c r="I723" s="1294"/>
      <c r="J723" s="1294"/>
      <c r="K723" s="1294"/>
      <c r="L723" s="1294"/>
      <c r="M723" s="1294"/>
    </row>
    <row r="724" spans="4:9" ht="12.75" customHeight="1">
      <c r="D724" s="1155"/>
      <c r="E724" s="1155"/>
      <c r="F724" s="1155"/>
      <c r="G724" s="1155"/>
      <c r="H724" s="1155"/>
      <c r="I724" s="1155"/>
    </row>
    <row r="725" spans="4:9" ht="12.75" customHeight="1">
      <c r="D725" s="1155" t="s">
        <v>29</v>
      </c>
      <c r="E725" s="1151" t="e">
        <f>INDEX(D697:L720,$C$722,$P$410)</f>
        <v>#REF!</v>
      </c>
      <c r="F725" s="1155"/>
      <c r="G725" s="1155"/>
      <c r="H725" s="1155"/>
      <c r="I725" s="1155"/>
    </row>
    <row r="726" spans="4:9" ht="12.75" customHeight="1">
      <c r="D726" s="1155" t="s">
        <v>317</v>
      </c>
      <c r="E726" s="1151" t="e">
        <f>INDEX(N697:V720,$C$722,$P$410)</f>
        <v>#REF!</v>
      </c>
      <c r="F726" s="1155"/>
      <c r="G726" s="1155"/>
      <c r="H726" s="1155"/>
      <c r="I726" s="1155"/>
    </row>
    <row r="727" spans="4:9" ht="12.75" customHeight="1">
      <c r="D727" s="1155" t="s">
        <v>737</v>
      </c>
      <c r="E727" s="1155">
        <f>D410</f>
        <v>327</v>
      </c>
      <c r="F727" s="1155"/>
      <c r="G727" s="1155"/>
      <c r="H727" s="1155"/>
      <c r="I727" s="1155"/>
    </row>
    <row r="728" spans="4:9" ht="12.75" customHeight="1">
      <c r="D728" s="1158" t="s">
        <v>738</v>
      </c>
      <c r="E728" s="1155" t="e">
        <f>E725+E726-E727</f>
        <v>#REF!</v>
      </c>
      <c r="F728" s="1155" t="s">
        <v>739</v>
      </c>
      <c r="G728" s="1155"/>
      <c r="H728" s="1155"/>
      <c r="I728" s="1155"/>
    </row>
    <row r="730" spans="4:9" ht="12.75" customHeight="1">
      <c r="D730" s="1155"/>
      <c r="E730" s="1155"/>
      <c r="F730" s="1155"/>
      <c r="G730" s="1155"/>
      <c r="H730" s="1155"/>
      <c r="I730" s="1155"/>
    </row>
    <row r="731" spans="4:9" ht="12.75" customHeight="1">
      <c r="D731" s="1155"/>
      <c r="E731" s="1155"/>
      <c r="F731" s="1155"/>
      <c r="G731" s="1155"/>
      <c r="H731" s="1155"/>
      <c r="I731" s="1155"/>
    </row>
    <row r="732" spans="4:9" ht="12.75" customHeight="1">
      <c r="D732" s="1155"/>
      <c r="E732" s="1155"/>
      <c r="F732" s="1155"/>
      <c r="G732" s="1155"/>
      <c r="H732" s="1155"/>
      <c r="I732" s="1155"/>
    </row>
    <row r="733" spans="4:9" ht="12.75" customHeight="1">
      <c r="D733" s="1155"/>
      <c r="E733" s="1155"/>
      <c r="F733" s="1155"/>
      <c r="G733" s="1155"/>
      <c r="H733" s="1155"/>
      <c r="I733" s="1155"/>
    </row>
    <row r="734" spans="4:9" ht="12.75" customHeight="1">
      <c r="D734" s="1155"/>
      <c r="E734" s="1155"/>
      <c r="F734" s="1155"/>
      <c r="G734" s="1155"/>
      <c r="H734" s="1155"/>
      <c r="I734" s="1155"/>
    </row>
    <row r="735" spans="4:9" ht="12.75" customHeight="1">
      <c r="D735" s="1155"/>
      <c r="E735" s="1155"/>
      <c r="F735" s="1155"/>
      <c r="G735" s="1155"/>
      <c r="H735" s="1155"/>
      <c r="I735" s="1155"/>
    </row>
    <row r="736" spans="4:9" ht="12.75" customHeight="1">
      <c r="D736" s="1155"/>
      <c r="E736" s="1155"/>
      <c r="F736" s="1155"/>
      <c r="G736" s="1155"/>
      <c r="H736" s="1155"/>
      <c r="I736" s="1155"/>
    </row>
    <row r="737" spans="4:9" ht="12.75" customHeight="1">
      <c r="D737" s="1155"/>
      <c r="E737" s="1155"/>
      <c r="F737" s="1155"/>
      <c r="G737" s="1155"/>
      <c r="H737" s="1155"/>
      <c r="I737" s="1155"/>
    </row>
    <row r="738" spans="4:9" ht="12.75" customHeight="1">
      <c r="D738" s="1155"/>
      <c r="E738" s="1155"/>
      <c r="F738" s="1155"/>
      <c r="G738" s="1155"/>
      <c r="H738" s="1155"/>
      <c r="I738" s="1155"/>
    </row>
    <row r="739" spans="4:9" ht="12.75" customHeight="1">
      <c r="D739" s="1155"/>
      <c r="E739" s="1155"/>
      <c r="F739" s="1155"/>
      <c r="G739" s="1155"/>
      <c r="H739" s="1155"/>
      <c r="I739" s="1155"/>
    </row>
    <row r="740" spans="4:9" ht="12.75" customHeight="1">
      <c r="D740" s="1155"/>
      <c r="E740" s="1155"/>
      <c r="F740" s="1155"/>
      <c r="G740" s="1155"/>
      <c r="H740" s="1155"/>
      <c r="I740" s="1155"/>
    </row>
    <row r="741" spans="4:9" ht="12.75" customHeight="1">
      <c r="D741" s="1155"/>
      <c r="E741" s="1155"/>
      <c r="F741" s="1155"/>
      <c r="G741" s="1155"/>
      <c r="H741" s="1155"/>
      <c r="I741" s="1155"/>
    </row>
    <row r="742" spans="4:9" ht="12.75" customHeight="1">
      <c r="D742" s="1155"/>
      <c r="E742" s="1155"/>
      <c r="F742" s="1155"/>
      <c r="G742" s="1155"/>
      <c r="H742" s="1155"/>
      <c r="I742" s="1155"/>
    </row>
    <row r="743" spans="4:9" ht="12.75" customHeight="1">
      <c r="D743" s="1155"/>
      <c r="E743" s="1155"/>
      <c r="F743" s="1155"/>
      <c r="G743" s="1155"/>
      <c r="H743" s="1155"/>
      <c r="I743" s="1155"/>
    </row>
    <row r="744" spans="4:9" ht="12.75" customHeight="1">
      <c r="D744" s="1155"/>
      <c r="E744" s="1155"/>
      <c r="F744" s="1155"/>
      <c r="G744" s="1155"/>
      <c r="H744" s="1155"/>
      <c r="I744" s="1155"/>
    </row>
    <row r="745" spans="4:9" ht="12.75" customHeight="1">
      <c r="D745" s="1155"/>
      <c r="E745" s="1155"/>
      <c r="F745" s="1155"/>
      <c r="G745" s="1155"/>
      <c r="H745" s="1155"/>
      <c r="I745" s="1155"/>
    </row>
    <row r="746" spans="4:9" ht="12.75" customHeight="1">
      <c r="D746" s="1155"/>
      <c r="E746" s="1155"/>
      <c r="F746" s="1155"/>
      <c r="G746" s="1155"/>
      <c r="H746" s="1155"/>
      <c r="I746" s="1155"/>
    </row>
    <row r="747" spans="4:9" ht="12.75" customHeight="1">
      <c r="D747" s="1155"/>
      <c r="E747" s="1155"/>
      <c r="F747" s="1155"/>
      <c r="G747" s="1155"/>
      <c r="H747" s="1155"/>
      <c r="I747" s="1155"/>
    </row>
    <row r="748" spans="4:9" ht="12.75" customHeight="1">
      <c r="D748" s="1155"/>
      <c r="E748" s="1155"/>
      <c r="F748" s="1155"/>
      <c r="G748" s="1155"/>
      <c r="H748" s="1155"/>
      <c r="I748" s="1155"/>
    </row>
    <row r="749" spans="3:9" ht="12.75" customHeight="1">
      <c r="C749" s="1209" t="s">
        <v>772</v>
      </c>
      <c r="D749" s="1210"/>
      <c r="E749" s="1210"/>
      <c r="F749" s="1210"/>
      <c r="G749" s="1211"/>
      <c r="H749" s="1155"/>
      <c r="I749" s="1155"/>
    </row>
    <row r="750" spans="3:9" ht="12.75" customHeight="1">
      <c r="C750" t="s">
        <v>773</v>
      </c>
      <c r="D750" s="1210"/>
      <c r="E750" s="1210"/>
      <c r="F750" s="1210"/>
      <c r="G750" s="1210"/>
      <c r="H750" s="1155"/>
      <c r="I750" s="1155"/>
    </row>
    <row r="751" spans="3:9" ht="12.75" customHeight="1">
      <c r="C751" t="s">
        <v>779</v>
      </c>
      <c r="D751" s="1210">
        <v>2</v>
      </c>
      <c r="E751" s="1210">
        <v>1.9</v>
      </c>
      <c r="F751" s="1210">
        <v>1.7</v>
      </c>
      <c r="G751" s="1210">
        <v>1.5</v>
      </c>
      <c r="H751" s="1155"/>
      <c r="I751" s="1155"/>
    </row>
    <row r="752" spans="3:9" ht="12.75" customHeight="1">
      <c r="C752" t="s">
        <v>774</v>
      </c>
      <c r="D752" s="1210">
        <v>1.8</v>
      </c>
      <c r="E752" s="1210">
        <v>1.7</v>
      </c>
      <c r="F752" s="1210">
        <v>1.5</v>
      </c>
      <c r="G752" s="1210">
        <v>1.3</v>
      </c>
      <c r="H752" s="1155"/>
      <c r="I752" s="1155"/>
    </row>
    <row r="753" spans="3:9" ht="12.75" customHeight="1">
      <c r="C753" t="s">
        <v>775</v>
      </c>
      <c r="D753" s="1210">
        <v>1.6</v>
      </c>
      <c r="E753" s="1210">
        <v>1.5</v>
      </c>
      <c r="F753" s="1210">
        <v>1.4</v>
      </c>
      <c r="G753" s="1210">
        <v>1.2</v>
      </c>
      <c r="H753" s="1155"/>
      <c r="I753" s="1155"/>
    </row>
    <row r="754" spans="3:9" ht="12.75" customHeight="1">
      <c r="C754" t="s">
        <v>776</v>
      </c>
      <c r="D754" s="1210">
        <v>2.2</v>
      </c>
      <c r="E754" s="1210">
        <v>2.1</v>
      </c>
      <c r="F754" s="1210">
        <v>1.9</v>
      </c>
      <c r="G754" s="1210">
        <v>1.7</v>
      </c>
      <c r="H754" s="1155"/>
      <c r="I754" s="1155"/>
    </row>
    <row r="755" spans="3:9" ht="12.75" customHeight="1">
      <c r="C755" t="s">
        <v>777</v>
      </c>
      <c r="D755" s="1210">
        <v>2.5</v>
      </c>
      <c r="E755" s="1210">
        <v>2.4</v>
      </c>
      <c r="F755" s="1210">
        <v>2.2</v>
      </c>
      <c r="G755" s="1210">
        <v>2</v>
      </c>
      <c r="H755" s="1155"/>
      <c r="I755" s="1155"/>
    </row>
    <row r="756" spans="3:7" ht="12.75" customHeight="1">
      <c r="C756" t="s">
        <v>778</v>
      </c>
      <c r="D756" s="1212">
        <v>2.2</v>
      </c>
      <c r="E756" s="1152">
        <v>2.1</v>
      </c>
      <c r="F756" s="1152">
        <v>1.9</v>
      </c>
      <c r="G756" s="1152">
        <v>1.8</v>
      </c>
    </row>
  </sheetData>
  <mergeCells count="55">
    <mergeCell ref="D435:I435"/>
    <mergeCell ref="D436:I436"/>
    <mergeCell ref="D431:I431"/>
    <mergeCell ref="D432:I432"/>
    <mergeCell ref="D433:I433"/>
    <mergeCell ref="D434:I434"/>
    <mergeCell ref="D428:I428"/>
    <mergeCell ref="C472:M472"/>
    <mergeCell ref="C474:M474"/>
    <mergeCell ref="D438:I438"/>
    <mergeCell ref="D439:I439"/>
    <mergeCell ref="D429:I429"/>
    <mergeCell ref="D437:I437"/>
    <mergeCell ref="D440:N441"/>
    <mergeCell ref="J442:K443"/>
    <mergeCell ref="D430:I430"/>
    <mergeCell ref="K475:L476"/>
    <mergeCell ref="D506:L506"/>
    <mergeCell ref="D479:L479"/>
    <mergeCell ref="N479:V479"/>
    <mergeCell ref="N506:V506"/>
    <mergeCell ref="D614:L614"/>
    <mergeCell ref="N614:V614"/>
    <mergeCell ref="D533:L533"/>
    <mergeCell ref="N533:V533"/>
    <mergeCell ref="D560:L560"/>
    <mergeCell ref="N560:V560"/>
    <mergeCell ref="E723:M723"/>
    <mergeCell ref="D695:L695"/>
    <mergeCell ref="N695:V695"/>
    <mergeCell ref="C445:N445"/>
    <mergeCell ref="D641:L641"/>
    <mergeCell ref="N641:V641"/>
    <mergeCell ref="D668:L668"/>
    <mergeCell ref="N668:V668"/>
    <mergeCell ref="D587:L587"/>
    <mergeCell ref="N587:V587"/>
    <mergeCell ref="D426:I426"/>
    <mergeCell ref="D427:I427"/>
    <mergeCell ref="D418:I418"/>
    <mergeCell ref="D419:I419"/>
    <mergeCell ref="D420:I420"/>
    <mergeCell ref="D421:I421"/>
    <mergeCell ref="D422:I422"/>
    <mergeCell ref="D423:I423"/>
    <mergeCell ref="D424:I424"/>
    <mergeCell ref="D425:I425"/>
    <mergeCell ref="D414:I414"/>
    <mergeCell ref="D415:I415"/>
    <mergeCell ref="D416:I416"/>
    <mergeCell ref="D417:I417"/>
    <mergeCell ref="D399:L399"/>
    <mergeCell ref="C397:M398"/>
    <mergeCell ref="C412:M412"/>
    <mergeCell ref="D413:I413"/>
  </mergeCells>
  <hyperlinks>
    <hyperlink ref="F94" r:id="rId1" tooltip="Здания и сооружения. Методы определения сопротивления теплопередаче ограждающих конструкций" display="F:\Program Files\StroyConsultant\Temp\2041.htm"/>
    <hyperlink ref="F100" r:id="rId2" tooltip="Здания и сооружения. Методы определения сопротивления теплопередаче ограждающих конструкций" display="F:\Program Files\StroyConsultant\Temp\2041.htm"/>
    <hyperlink ref="F105" r:id="rId3" tooltip="Здания и сооружения. Методы определения сопротивления теплопередаче ограждающих конструкций" display="F:\Program Files\StroyConsultant\Temp\2041.htm"/>
  </hyperlinks>
  <printOptions gridLines="1"/>
  <pageMargins left="0.748031496062992" right="0.748031496062992" top="0.734251969" bottom="0.734251969" header="0.5" footer="0.5"/>
  <pageSetup fitToHeight="1" fitToWidth="1" orientation="landscape" paperSize="9" scale="40" r:id="rId4"/>
  <headerFooter alignWithMargins="0">
    <oddFooter>&amp;CPage &amp;P&amp;R&amp;D       &amp;T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toX</dc:creator>
  <cp:keywords/>
  <dc:description/>
  <cp:lastModifiedBy>1</cp:lastModifiedBy>
  <cp:lastPrinted>2005-08-02T06:20:09Z</cp:lastPrinted>
  <dcterms:created xsi:type="dcterms:W3CDTF">1999-01-06T12:12:45Z</dcterms:created>
  <dcterms:modified xsi:type="dcterms:W3CDTF">2012-03-26T12:22:06Z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