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80" windowWidth="15480" windowHeight="5190" activeTab="1"/>
  </bookViews>
  <sheets>
    <sheet name="План" sheetId="1" r:id="rId1"/>
    <sheet name="расчет" sheetId="2" r:id="rId2"/>
    <sheet name="смета " sheetId="3" r:id="rId3"/>
    <sheet name="Фундамент" sheetId="4" r:id="rId4"/>
    <sheet name="Стены" sheetId="5" r:id="rId5"/>
    <sheet name="Кровля" sheetId="6" r:id="rId6"/>
    <sheet name="ОкнаДвери" sheetId="7" r:id="rId7"/>
    <sheet name="плoщади" sheetId="8" r:id="rId8"/>
  </sheets>
  <externalReferences>
    <externalReference r:id="rId11"/>
  </externalReferences>
  <definedNames/>
  <calcPr fullCalcOnLoad="1"/>
</workbook>
</file>

<file path=xl/comments3.xml><?xml version="1.0" encoding="utf-8"?>
<comments xmlns="http://schemas.openxmlformats.org/spreadsheetml/2006/main">
  <authors>
    <author>А</author>
  </authors>
  <commentList>
    <comment ref="J227" authorId="0">
      <text>
        <r>
          <rPr>
            <b/>
            <sz val="8"/>
            <rFont val="Tahoma"/>
            <family val="0"/>
          </rPr>
          <t>А:</t>
        </r>
        <r>
          <rPr>
            <sz val="8"/>
            <rFont val="Tahoma"/>
            <family val="0"/>
          </rPr>
          <t xml:space="preserve">
выимка грукнта
насыпка песка</t>
        </r>
      </text>
    </comment>
  </commentList>
</comments>
</file>

<file path=xl/sharedStrings.xml><?xml version="1.0" encoding="utf-8"?>
<sst xmlns="http://schemas.openxmlformats.org/spreadsheetml/2006/main" count="640" uniqueCount="183">
  <si>
    <t>м3</t>
  </si>
  <si>
    <t>м2</t>
  </si>
  <si>
    <t>шт</t>
  </si>
  <si>
    <t>брус</t>
  </si>
  <si>
    <t>двери</t>
  </si>
  <si>
    <t>работа</t>
  </si>
  <si>
    <t>цена</t>
  </si>
  <si>
    <t>итого</t>
  </si>
  <si>
    <t>кол-во</t>
  </si>
  <si>
    <t>наименование</t>
  </si>
  <si>
    <t>материалы</t>
  </si>
  <si>
    <t>ед.изм.</t>
  </si>
  <si>
    <t>стоимость мат-лов</t>
  </si>
  <si>
    <t>наименование работ</t>
  </si>
  <si>
    <t>расценка</t>
  </si>
  <si>
    <t>сумма работ</t>
  </si>
  <si>
    <t>фундамент столбчато-ленточный</t>
  </si>
  <si>
    <t>м.пог.</t>
  </si>
  <si>
    <t>лента 300*400+ столбы 2000*200*200 через 2м</t>
  </si>
  <si>
    <t>бетон</t>
  </si>
  <si>
    <t>шифер</t>
  </si>
  <si>
    <t>профиль</t>
  </si>
  <si>
    <t>м</t>
  </si>
  <si>
    <t>крепеж</t>
  </si>
  <si>
    <t>гидроизоляция</t>
  </si>
  <si>
    <t>устройство фундамента</t>
  </si>
  <si>
    <t>пакет 250мм</t>
  </si>
  <si>
    <t>шкант</t>
  </si>
  <si>
    <t>краска (белинка)</t>
  </si>
  <si>
    <t>кг</t>
  </si>
  <si>
    <t>сборка стен</t>
  </si>
  <si>
    <t>кисть</t>
  </si>
  <si>
    <t>покраска 3 слоя</t>
  </si>
  <si>
    <t>полы 1 этажа</t>
  </si>
  <si>
    <t>половая доска</t>
  </si>
  <si>
    <t>утеплитель</t>
  </si>
  <si>
    <t>пленка</t>
  </si>
  <si>
    <t>черновой пол</t>
  </si>
  <si>
    <t>плинтус</t>
  </si>
  <si>
    <t>устройство пола</t>
  </si>
  <si>
    <t>потолок 1 этажа-пол 2 этажа</t>
  </si>
  <si>
    <t>вагонка</t>
  </si>
  <si>
    <t>устройство потолка/пола</t>
  </si>
  <si>
    <t>перегородки</t>
  </si>
  <si>
    <t>устройство перегородок</t>
  </si>
  <si>
    <t>крыша - потолок мансарды</t>
  </si>
  <si>
    <t>мягкая черепица</t>
  </si>
  <si>
    <t>кровельный материал</t>
  </si>
  <si>
    <t>доборка, мастика, подкладка</t>
  </si>
  <si>
    <t>ОСП</t>
  </si>
  <si>
    <t>брус стропил</t>
  </si>
  <si>
    <t>обрешетка</t>
  </si>
  <si>
    <t>устройство кровли</t>
  </si>
  <si>
    <t>итого холодная кровля</t>
  </si>
  <si>
    <t>контробрешетка</t>
  </si>
  <si>
    <t>утепление и подшивка</t>
  </si>
  <si>
    <t>итого теплая кровля</t>
  </si>
  <si>
    <t>окна стеклопакет</t>
  </si>
  <si>
    <t>окно</t>
  </si>
  <si>
    <t>подоконник</t>
  </si>
  <si>
    <t>доборка, пена, крепеж</t>
  </si>
  <si>
    <t>установка</t>
  </si>
  <si>
    <t>окна наплавные</t>
  </si>
  <si>
    <t>дверь</t>
  </si>
  <si>
    <t>комплект</t>
  </si>
  <si>
    <t>терраса</t>
  </si>
  <si>
    <t>террасная доска</t>
  </si>
  <si>
    <t>балка</t>
  </si>
  <si>
    <t>ограждение</t>
  </si>
  <si>
    <t>устройство террасы</t>
  </si>
  <si>
    <t>Усторойство электрических сетей</t>
  </si>
  <si>
    <t>устройство водопровода</t>
  </si>
  <si>
    <t>Устройство канализации</t>
  </si>
  <si>
    <t xml:space="preserve">Устройство  отопления </t>
  </si>
  <si>
    <t>Котел</t>
  </si>
  <si>
    <t>радиаторы</t>
  </si>
  <si>
    <t>Септик</t>
  </si>
  <si>
    <t>Скважина на воду (15 метров)</t>
  </si>
  <si>
    <t>Система водоподготовки</t>
  </si>
  <si>
    <t>ед.изм</t>
  </si>
  <si>
    <t>водосток</t>
  </si>
  <si>
    <t>монтаж водостока</t>
  </si>
  <si>
    <t>пакет 205мм</t>
  </si>
  <si>
    <t>стеновые конструкции 205</t>
  </si>
  <si>
    <t>стеновые конструкции 250</t>
  </si>
  <si>
    <t>стеновые конструкции 400</t>
  </si>
  <si>
    <t>стеновые конструкции 490</t>
  </si>
  <si>
    <t>М2</t>
  </si>
  <si>
    <t>пол\потолок для домокомплекта: балки перекрытий- сухой брус 220*100 с шагом 500, черновой пол -сухая доска 25 мм</t>
  </si>
  <si>
    <t>крыша для домокомплекта- сухая доска: стропила 200*50 с шагом 500, обрешетка 25*100 шаг 100, контробрешетка 25*50 шаг 500</t>
  </si>
  <si>
    <t>металлочерепица</t>
  </si>
  <si>
    <t>стеновые конструкции 205 кедр</t>
  </si>
  <si>
    <t>стеновые конструкции 250 лиственница/кедр</t>
  </si>
  <si>
    <t>крыша - потолок мансарды н.черепица</t>
  </si>
  <si>
    <t xml:space="preserve"> холодная кровля н.черепица</t>
  </si>
  <si>
    <t>теплая кровля н. черепица</t>
  </si>
  <si>
    <t>стеновые конструкции 250 лиственница/хвоя</t>
  </si>
  <si>
    <t>итого холодная кровля металлочерепица</t>
  </si>
  <si>
    <t>итого теплая кровля металлочерепица</t>
  </si>
  <si>
    <t>фундамент мелкозаглубленный ленточный утепленный периметр</t>
  </si>
  <si>
    <t>песок</t>
  </si>
  <si>
    <t>ЭПП</t>
  </si>
  <si>
    <t>гравий</t>
  </si>
  <si>
    <t>кирпич</t>
  </si>
  <si>
    <t>фасадный камень</t>
  </si>
  <si>
    <t>Кирпичная кладка 0,4 0,4 + кирпич +фасад</t>
  </si>
  <si>
    <t>Вагонка</t>
  </si>
  <si>
    <t xml:space="preserve">терраса лиственница </t>
  </si>
  <si>
    <t>терраса лиственница покраска</t>
  </si>
  <si>
    <t xml:space="preserve">Кирпичная кладка 0,4 0,4 + кирпич </t>
  </si>
  <si>
    <t>объем</t>
  </si>
  <si>
    <t>крыша - потолок мансарды для комплекта франц</t>
  </si>
  <si>
    <t>полы 1 этажа франц</t>
  </si>
  <si>
    <t>налоги</t>
  </si>
  <si>
    <t>количество</t>
  </si>
  <si>
    <t>сумма</t>
  </si>
  <si>
    <t>итого без налогов</t>
  </si>
  <si>
    <t>транспорт командировочные</t>
  </si>
  <si>
    <t>издержки</t>
  </si>
  <si>
    <t xml:space="preserve">плановые накопления </t>
  </si>
  <si>
    <t>высота</t>
  </si>
  <si>
    <t>Перегородки</t>
  </si>
  <si>
    <t>Щит</t>
  </si>
  <si>
    <t>Итого</t>
  </si>
  <si>
    <t>Окна</t>
  </si>
  <si>
    <t>Двери</t>
  </si>
  <si>
    <t>перег</t>
  </si>
  <si>
    <t>ООО "Компания "Юнитек"</t>
  </si>
  <si>
    <t>г. Рыбинск</t>
  </si>
  <si>
    <t>Расчет</t>
  </si>
  <si>
    <t xml:space="preserve"> жилой дом, утепленный брус LOGECO™ 250 мм кровля металло черепица</t>
  </si>
  <si>
    <t xml:space="preserve">произвел </t>
  </si>
  <si>
    <t>Костерин Олег Александрович</t>
  </si>
  <si>
    <t>ед. изм.</t>
  </si>
  <si>
    <t>м.п.</t>
  </si>
  <si>
    <r>
      <t>Брус LOGECO</t>
    </r>
    <r>
      <rPr>
        <sz val="10"/>
        <rFont val="Arial Cyr"/>
        <family val="0"/>
      </rPr>
      <t>™ 250мм</t>
    </r>
  </si>
  <si>
    <t>кв.м.</t>
  </si>
  <si>
    <t>Пол 1 этаж</t>
  </si>
  <si>
    <t>Пол/Потолок 2 этаж</t>
  </si>
  <si>
    <t>Террасы балконы вх. лестницы</t>
  </si>
  <si>
    <t>Лестница</t>
  </si>
  <si>
    <t>шт.</t>
  </si>
  <si>
    <t>Балки клееные</t>
  </si>
  <si>
    <t>куб.м.</t>
  </si>
  <si>
    <t>Щит клееный</t>
  </si>
  <si>
    <t>Кровля не утепленная</t>
  </si>
  <si>
    <t>Кровля утепленная</t>
  </si>
  <si>
    <t>руб*</t>
  </si>
  <si>
    <t>Справочно: цена кв.м. общей площади</t>
  </si>
  <si>
    <t>руб</t>
  </si>
  <si>
    <t>лента 300*700</t>
  </si>
  <si>
    <t>фундамент ленточный</t>
  </si>
  <si>
    <t>лента 300*400+ столбы 3200*200*200 через 2м</t>
  </si>
  <si>
    <t>лента 300*1200+ столбы 2000*200*200 через 2м</t>
  </si>
  <si>
    <t>сумма с издержками</t>
  </si>
  <si>
    <t>Отпускная цена</t>
  </si>
  <si>
    <t>периметр</t>
  </si>
  <si>
    <t>Кровля холодная</t>
  </si>
  <si>
    <r>
      <t>Брус LOGECO</t>
    </r>
    <r>
      <rPr>
        <sz val="10"/>
        <rFont val="Arial Cyr"/>
        <family val="0"/>
      </rPr>
      <t>™ 205мм</t>
    </r>
  </si>
  <si>
    <t>Фундамент</t>
  </si>
  <si>
    <t>Стены</t>
  </si>
  <si>
    <t>Арка</t>
  </si>
  <si>
    <t>Фронтоны</t>
  </si>
  <si>
    <t>плита</t>
  </si>
  <si>
    <t>площадь</t>
  </si>
  <si>
    <t>Арка перегородки</t>
  </si>
  <si>
    <t>теплая</t>
  </si>
  <si>
    <t>площади</t>
  </si>
  <si>
    <t>полы1 эт</t>
  </si>
  <si>
    <t>Плита армированная 0,15 м</t>
  </si>
  <si>
    <t>фундамент плита 0,15 м двойно</t>
  </si>
  <si>
    <t>м.кв</t>
  </si>
  <si>
    <t>Справочно:  общая площадь</t>
  </si>
  <si>
    <t>мезанитовые</t>
  </si>
  <si>
    <t>лестница железная</t>
  </si>
  <si>
    <t>профлист</t>
  </si>
  <si>
    <t>фундамент столбчатый</t>
  </si>
  <si>
    <t xml:space="preserve"> столбы 2000*200*200 через 2м</t>
  </si>
  <si>
    <t>стеновые конструкции 250 утеплитель Кнауф</t>
  </si>
  <si>
    <t>пакет однокамерный пластик</t>
  </si>
  <si>
    <t xml:space="preserve">Балка естественная влажность </t>
  </si>
  <si>
    <t>Щит  сборный</t>
  </si>
  <si>
    <t xml:space="preserve">Фундамент столбчатый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</si>
</sst>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* #,##0_-;\-* #,##0_-;_-* &quot;-&quot;_-;_-@_-"/>
    <numFmt numFmtId="172" formatCode="_-&quot;€&quot;* #,##0.00_-;\-&quot;€&quot;* #,##0.00_-;_-&quot;€&quot;* &quot;-&quot;??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FC19]d\ mmmm\ yyyy\ &quot;г.&quot;"/>
    <numFmt numFmtId="183" formatCode="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5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sz val="8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6" fillId="0" borderId="0">
      <alignment/>
      <protection/>
    </xf>
    <xf numFmtId="0" fontId="2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53" applyFill="1" applyBorder="1">
      <alignment/>
      <protection/>
    </xf>
    <xf numFmtId="0" fontId="1" fillId="0" borderId="0" xfId="53" applyBorder="1">
      <alignment/>
      <protection/>
    </xf>
    <xf numFmtId="0" fontId="1" fillId="20" borderId="0" xfId="53" applyFill="1" applyBorder="1">
      <alignment/>
      <protection/>
    </xf>
    <xf numFmtId="0" fontId="1" fillId="24" borderId="0" xfId="53" applyFill="1" applyBorder="1">
      <alignment/>
      <protection/>
    </xf>
    <xf numFmtId="0" fontId="1" fillId="21" borderId="0" xfId="53" applyFill="1" applyBorder="1">
      <alignment/>
      <protection/>
    </xf>
    <xf numFmtId="0" fontId="1" fillId="22" borderId="0" xfId="53" applyFill="1" applyBorder="1">
      <alignment/>
      <protection/>
    </xf>
    <xf numFmtId="0" fontId="1" fillId="0" borderId="0" xfId="53" applyFont="1" applyBorder="1">
      <alignment/>
      <protection/>
    </xf>
    <xf numFmtId="0" fontId="6" fillId="0" borderId="0" xfId="53" applyFont="1" applyFill="1" applyBorder="1" applyAlignment="1">
      <alignment wrapText="1"/>
      <protection/>
    </xf>
    <xf numFmtId="0" fontId="6" fillId="0" borderId="0" xfId="53" applyFont="1" applyBorder="1" applyAlignment="1">
      <alignment wrapText="1"/>
      <protection/>
    </xf>
    <xf numFmtId="0" fontId="1" fillId="0" borderId="10" xfId="0" applyFont="1" applyBorder="1" applyAlignment="1">
      <alignment wrapText="1"/>
    </xf>
    <xf numFmtId="0" fontId="1" fillId="0" borderId="0" xfId="53" applyBorder="1" applyAlignment="1">
      <alignment wrapText="1"/>
      <protection/>
    </xf>
    <xf numFmtId="0" fontId="0" fillId="0" borderId="0" xfId="0" applyFill="1" applyAlignment="1">
      <alignment/>
    </xf>
    <xf numFmtId="0" fontId="1" fillId="0" borderId="0" xfId="53" applyFont="1" applyBorder="1" applyAlignment="1">
      <alignment wrapText="1"/>
      <protection/>
    </xf>
    <xf numFmtId="10" fontId="1" fillId="0" borderId="0" xfId="53" applyNumberFormat="1" applyBorder="1">
      <alignment/>
      <protection/>
    </xf>
    <xf numFmtId="0" fontId="6" fillId="4" borderId="10" xfId="53" applyFont="1" applyFill="1" applyBorder="1" applyAlignment="1">
      <alignment wrapText="1"/>
      <protection/>
    </xf>
    <xf numFmtId="0" fontId="26" fillId="0" borderId="0" xfId="54">
      <alignment/>
      <protection/>
    </xf>
    <xf numFmtId="0" fontId="30" fillId="0" borderId="0" xfId="54" applyFont="1">
      <alignment/>
      <protection/>
    </xf>
    <xf numFmtId="0" fontId="31" fillId="0" borderId="0" xfId="54" applyFont="1">
      <alignment/>
      <protection/>
    </xf>
    <xf numFmtId="0" fontId="32" fillId="0" borderId="0" xfId="54" applyFont="1" applyAlignment="1">
      <alignment horizontal="right"/>
      <protection/>
    </xf>
    <xf numFmtId="0" fontId="32" fillId="0" borderId="0" xfId="54" applyFont="1">
      <alignment/>
      <protection/>
    </xf>
    <xf numFmtId="14" fontId="32" fillId="0" borderId="0" xfId="54" applyNumberFormat="1" applyFont="1">
      <alignment/>
      <protection/>
    </xf>
    <xf numFmtId="0" fontId="27" fillId="0" borderId="0" xfId="54" applyFont="1">
      <alignment/>
      <protection/>
    </xf>
    <xf numFmtId="0" fontId="26" fillId="0" borderId="11" xfId="54" applyBorder="1">
      <alignment/>
      <protection/>
    </xf>
    <xf numFmtId="0" fontId="26" fillId="0" borderId="12" xfId="54" applyBorder="1">
      <alignment/>
      <protection/>
    </xf>
    <xf numFmtId="0" fontId="26" fillId="0" borderId="13" xfId="54" applyBorder="1">
      <alignment/>
      <protection/>
    </xf>
    <xf numFmtId="0" fontId="26" fillId="0" borderId="14" xfId="54" applyFont="1" applyBorder="1">
      <alignment/>
      <protection/>
    </xf>
    <xf numFmtId="2" fontId="26" fillId="0" borderId="10" xfId="54" applyNumberFormat="1" applyBorder="1">
      <alignment/>
      <protection/>
    </xf>
    <xf numFmtId="0" fontId="26" fillId="0" borderId="10" xfId="54" applyBorder="1">
      <alignment/>
      <protection/>
    </xf>
    <xf numFmtId="0" fontId="26" fillId="0" borderId="10" xfId="54" applyFont="1" applyBorder="1">
      <alignment/>
      <protection/>
    </xf>
    <xf numFmtId="0" fontId="26" fillId="0" borderId="10" xfId="54" applyFill="1" applyBorder="1">
      <alignment/>
      <protection/>
    </xf>
    <xf numFmtId="0" fontId="26" fillId="0" borderId="0" xfId="54" applyBorder="1" applyAlignment="1">
      <alignment horizontal="left"/>
      <protection/>
    </xf>
    <xf numFmtId="2" fontId="26" fillId="0" borderId="0" xfId="54" applyNumberFormat="1" applyBorder="1">
      <alignment/>
      <protection/>
    </xf>
    <xf numFmtId="0" fontId="26" fillId="0" borderId="0" xfId="54" applyFill="1" applyBorder="1">
      <alignment/>
      <protection/>
    </xf>
    <xf numFmtId="165" fontId="5" fillId="0" borderId="10" xfId="53" applyNumberFormat="1" applyFont="1" applyFill="1" applyBorder="1" applyAlignment="1">
      <alignment wrapText="1"/>
      <protection/>
    </xf>
    <xf numFmtId="165" fontId="17" fillId="0" borderId="0" xfId="0" applyNumberFormat="1" applyFont="1" applyFill="1" applyAlignment="1">
      <alignment/>
    </xf>
    <xf numFmtId="165" fontId="17" fillId="0" borderId="15" xfId="0" applyNumberFormat="1" applyFont="1" applyFill="1" applyBorder="1" applyAlignment="1">
      <alignment/>
    </xf>
    <xf numFmtId="165" fontId="17" fillId="0" borderId="16" xfId="0" applyNumberFormat="1" applyFont="1" applyFill="1" applyBorder="1" applyAlignment="1">
      <alignment/>
    </xf>
    <xf numFmtId="0" fontId="5" fillId="4" borderId="10" xfId="53" applyFont="1" applyFill="1" applyBorder="1" applyAlignment="1">
      <alignment wrapText="1"/>
      <protection/>
    </xf>
    <xf numFmtId="0" fontId="5" fillId="23" borderId="10" xfId="53" applyFont="1" applyFill="1" applyBorder="1" applyAlignment="1">
      <alignment wrapText="1"/>
      <protection/>
    </xf>
    <xf numFmtId="165" fontId="5" fillId="4" borderId="10" xfId="53" applyNumberFormat="1" applyFont="1" applyFill="1" applyBorder="1" applyAlignment="1">
      <alignment wrapText="1"/>
      <protection/>
    </xf>
    <xf numFmtId="0" fontId="4" fillId="22" borderId="10" xfId="53" applyFont="1" applyFill="1" applyBorder="1" applyAlignment="1">
      <alignment wrapText="1"/>
      <protection/>
    </xf>
    <xf numFmtId="0" fontId="1" fillId="0" borderId="10" xfId="53" applyFill="1" applyBorder="1">
      <alignment/>
      <protection/>
    </xf>
    <xf numFmtId="0" fontId="2" fillId="0" borderId="10" xfId="53" applyFont="1" applyFill="1" applyBorder="1">
      <alignment/>
      <protection/>
    </xf>
    <xf numFmtId="165" fontId="1" fillId="23" borderId="10" xfId="53" applyNumberFormat="1" applyFill="1" applyBorder="1">
      <alignment/>
      <protection/>
    </xf>
    <xf numFmtId="165" fontId="1" fillId="0" borderId="10" xfId="53" applyNumberFormat="1" applyFill="1" applyBorder="1">
      <alignment/>
      <protection/>
    </xf>
    <xf numFmtId="0" fontId="1" fillId="23" borderId="10" xfId="53" applyFill="1" applyBorder="1">
      <alignment/>
      <protection/>
    </xf>
    <xf numFmtId="0" fontId="0" fillId="0" borderId="10" xfId="0" applyFill="1" applyBorder="1" applyAlignment="1">
      <alignment/>
    </xf>
    <xf numFmtId="2" fontId="1" fillId="0" borderId="10" xfId="53" applyNumberFormat="1" applyFill="1" applyBorder="1">
      <alignment/>
      <protection/>
    </xf>
    <xf numFmtId="165" fontId="17" fillId="0" borderId="10" xfId="0" applyNumberFormat="1" applyFont="1" applyFill="1" applyBorder="1" applyAlignment="1">
      <alignment/>
    </xf>
    <xf numFmtId="0" fontId="1" fillId="0" borderId="10" xfId="53" applyBorder="1" applyAlignment="1">
      <alignment wrapText="1"/>
      <protection/>
    </xf>
    <xf numFmtId="0" fontId="1" fillId="0" borderId="10" xfId="53" applyBorder="1">
      <alignment/>
      <protection/>
    </xf>
    <xf numFmtId="165" fontId="1" fillId="0" borderId="10" xfId="53" applyNumberFormat="1" applyBorder="1">
      <alignment/>
      <protection/>
    </xf>
    <xf numFmtId="0" fontId="1" fillId="20" borderId="10" xfId="53" applyFill="1" applyBorder="1" applyAlignment="1">
      <alignment wrapText="1"/>
      <protection/>
    </xf>
    <xf numFmtId="0" fontId="1" fillId="20" borderId="10" xfId="53" applyFill="1" applyBorder="1">
      <alignment/>
      <protection/>
    </xf>
    <xf numFmtId="0" fontId="2" fillId="20" borderId="10" xfId="53" applyFont="1" applyFill="1" applyBorder="1">
      <alignment/>
      <protection/>
    </xf>
    <xf numFmtId="165" fontId="1" fillId="20" borderId="10" xfId="53" applyNumberFormat="1" applyFill="1" applyBorder="1">
      <alignment/>
      <protection/>
    </xf>
    <xf numFmtId="165" fontId="2" fillId="20" borderId="10" xfId="53" applyNumberFormat="1" applyFont="1" applyFill="1" applyBorder="1">
      <alignment/>
      <protection/>
    </xf>
    <xf numFmtId="165" fontId="2" fillId="0" borderId="10" xfId="53" applyNumberFormat="1" applyFont="1" applyFill="1" applyBorder="1">
      <alignment/>
      <protection/>
    </xf>
    <xf numFmtId="0" fontId="1" fillId="24" borderId="10" xfId="53" applyFill="1" applyBorder="1" applyAlignment="1">
      <alignment wrapText="1"/>
      <protection/>
    </xf>
    <xf numFmtId="0" fontId="3" fillId="24" borderId="10" xfId="53" applyFont="1" applyFill="1" applyBorder="1">
      <alignment/>
      <protection/>
    </xf>
    <xf numFmtId="0" fontId="1" fillId="24" borderId="10" xfId="53" applyFill="1" applyBorder="1">
      <alignment/>
      <protection/>
    </xf>
    <xf numFmtId="165" fontId="1" fillId="24" borderId="10" xfId="53" applyNumberFormat="1" applyFill="1" applyBorder="1">
      <alignment/>
      <protection/>
    </xf>
    <xf numFmtId="0" fontId="1" fillId="0" borderId="10" xfId="53" applyFont="1" applyBorder="1" applyAlignment="1">
      <alignment wrapText="1"/>
      <protection/>
    </xf>
    <xf numFmtId="0" fontId="1" fillId="0" borderId="10" xfId="53" applyFont="1" applyBorder="1">
      <alignment/>
      <protection/>
    </xf>
    <xf numFmtId="0" fontId="3" fillId="0" borderId="10" xfId="53" applyFont="1" applyFill="1" applyBorder="1">
      <alignment/>
      <protection/>
    </xf>
    <xf numFmtId="165" fontId="1" fillId="25" borderId="10" xfId="53" applyNumberFormat="1" applyFill="1" applyBorder="1">
      <alignment/>
      <protection/>
    </xf>
    <xf numFmtId="2" fontId="2" fillId="20" borderId="10" xfId="53" applyNumberFormat="1" applyFont="1" applyFill="1" applyBorder="1">
      <alignment/>
      <protection/>
    </xf>
    <xf numFmtId="0" fontId="2" fillId="24" borderId="10" xfId="53" applyFont="1" applyFill="1" applyBorder="1">
      <alignment/>
      <protection/>
    </xf>
    <xf numFmtId="2" fontId="2" fillId="24" borderId="10" xfId="53" applyNumberFormat="1" applyFont="1" applyFill="1" applyBorder="1">
      <alignment/>
      <protection/>
    </xf>
    <xf numFmtId="0" fontId="2" fillId="0" borderId="10" xfId="53" applyFont="1" applyBorder="1">
      <alignment/>
      <protection/>
    </xf>
    <xf numFmtId="0" fontId="1" fillId="0" borderId="10" xfId="53" applyFont="1" applyFill="1" applyBorder="1">
      <alignment/>
      <protection/>
    </xf>
    <xf numFmtId="0" fontId="1" fillId="21" borderId="10" xfId="53" applyFill="1" applyBorder="1">
      <alignment/>
      <protection/>
    </xf>
    <xf numFmtId="2" fontId="0" fillId="0" borderId="10" xfId="0" applyNumberFormat="1" applyFill="1" applyBorder="1" applyAlignment="1">
      <alignment/>
    </xf>
    <xf numFmtId="0" fontId="1" fillId="20" borderId="10" xfId="53" applyFont="1" applyFill="1" applyBorder="1" applyAlignment="1">
      <alignment wrapText="1"/>
      <protection/>
    </xf>
    <xf numFmtId="0" fontId="2" fillId="22" borderId="10" xfId="53" applyFont="1" applyFill="1" applyBorder="1" applyAlignment="1">
      <alignment wrapText="1"/>
      <protection/>
    </xf>
    <xf numFmtId="0" fontId="2" fillId="24" borderId="10" xfId="53" applyFont="1" applyFill="1" applyBorder="1" applyAlignment="1">
      <alignment wrapText="1"/>
      <protection/>
    </xf>
    <xf numFmtId="165" fontId="1" fillId="0" borderId="10" xfId="53" applyNumberFormat="1" applyFont="1" applyBorder="1">
      <alignment/>
      <protection/>
    </xf>
    <xf numFmtId="0" fontId="1" fillId="22" borderId="10" xfId="53" applyFont="1" applyFill="1" applyBorder="1" applyAlignment="1">
      <alignment wrapText="1"/>
      <protection/>
    </xf>
    <xf numFmtId="165" fontId="1" fillId="23" borderId="10" xfId="53" applyNumberFormat="1" applyFont="1" applyFill="1" applyBorder="1">
      <alignment/>
      <protection/>
    </xf>
    <xf numFmtId="165" fontId="2" fillId="24" borderId="10" xfId="53" applyNumberFormat="1" applyFont="1" applyFill="1" applyBorder="1">
      <alignment/>
      <protection/>
    </xf>
    <xf numFmtId="0" fontId="26" fillId="10" borderId="0" xfId="54" applyFill="1">
      <alignment/>
      <protection/>
    </xf>
    <xf numFmtId="0" fontId="26" fillId="0" borderId="17" xfId="54" applyFont="1" applyBorder="1" applyAlignment="1">
      <alignment horizontal="left"/>
      <protection/>
    </xf>
    <xf numFmtId="0" fontId="26" fillId="0" borderId="17" xfId="54" applyBorder="1" applyAlignment="1">
      <alignment horizontal="left"/>
      <protection/>
    </xf>
    <xf numFmtId="0" fontId="26" fillId="0" borderId="18" xfId="54" applyBorder="1" applyAlignment="1">
      <alignment horizontal="left"/>
      <protection/>
    </xf>
    <xf numFmtId="0" fontId="26" fillId="0" borderId="0" xfId="54" applyFont="1">
      <alignment/>
      <protection/>
    </xf>
    <xf numFmtId="0" fontId="1" fillId="17" borderId="10" xfId="53" applyFill="1" applyBorder="1">
      <alignment/>
      <protection/>
    </xf>
    <xf numFmtId="0" fontId="26" fillId="0" borderId="10" xfId="54" applyFont="1" applyBorder="1" applyAlignment="1">
      <alignment horizontal="left"/>
      <protection/>
    </xf>
    <xf numFmtId="0" fontId="26" fillId="0" borderId="10" xfId="54" applyBorder="1" applyAlignment="1">
      <alignment horizontal="left"/>
      <protection/>
    </xf>
    <xf numFmtId="0" fontId="33" fillId="0" borderId="15" xfId="54" applyFont="1" applyBorder="1" applyAlignment="1">
      <alignment horizontal="center" wrapText="1"/>
      <protection/>
    </xf>
    <xf numFmtId="0" fontId="33" fillId="0" borderId="16" xfId="54" applyFont="1" applyBorder="1" applyAlignment="1">
      <alignment horizontal="center" wrapText="1"/>
      <protection/>
    </xf>
    <xf numFmtId="0" fontId="33" fillId="0" borderId="19" xfId="54" applyFont="1" applyBorder="1" applyAlignment="1">
      <alignment horizontal="center" wrapText="1"/>
      <protection/>
    </xf>
    <xf numFmtId="0" fontId="26" fillId="0" borderId="20" xfId="54" applyBorder="1" applyAlignment="1">
      <alignment horizontal="center"/>
      <protection/>
    </xf>
    <xf numFmtId="0" fontId="26" fillId="0" borderId="11" xfId="54" applyBorder="1" applyAlignment="1">
      <alignment horizontal="center"/>
      <protection/>
    </xf>
    <xf numFmtId="0" fontId="26" fillId="0" borderId="15" xfId="54" applyFont="1" applyBorder="1" applyAlignment="1">
      <alignment horizontal="left"/>
      <protection/>
    </xf>
    <xf numFmtId="0" fontId="26" fillId="0" borderId="16" xfId="54" applyBorder="1" applyAlignment="1">
      <alignment horizontal="left"/>
      <protection/>
    </xf>
    <xf numFmtId="0" fontId="26" fillId="0" borderId="19" xfId="54" applyBorder="1" applyAlignment="1">
      <alignment horizontal="left"/>
      <protection/>
    </xf>
    <xf numFmtId="0" fontId="26" fillId="0" borderId="16" xfId="54" applyFont="1" applyBorder="1" applyAlignment="1">
      <alignment horizontal="left"/>
      <protection/>
    </xf>
    <xf numFmtId="0" fontId="26" fillId="0" borderId="19" xfId="54" applyFont="1" applyBorder="1" applyAlignment="1">
      <alignment horizontal="left"/>
      <protection/>
    </xf>
    <xf numFmtId="0" fontId="26" fillId="0" borderId="17" xfId="54" applyFont="1" applyBorder="1" applyAlignment="1">
      <alignment horizontal="left"/>
      <protection/>
    </xf>
    <xf numFmtId="0" fontId="26" fillId="0" borderId="17" xfId="54" applyBorder="1" applyAlignment="1">
      <alignment horizontal="left"/>
      <protection/>
    </xf>
    <xf numFmtId="0" fontId="26" fillId="0" borderId="18" xfId="54" applyBorder="1" applyAlignment="1">
      <alignment horizontal="left"/>
      <protection/>
    </xf>
    <xf numFmtId="165" fontId="1" fillId="25" borderId="10" xfId="53" applyNumberFormat="1" applyFont="1" applyFill="1" applyBorder="1">
      <alignment/>
      <protection/>
    </xf>
    <xf numFmtId="165" fontId="1" fillId="17" borderId="10" xfId="53" applyNumberFormat="1" applyFill="1" applyBorder="1">
      <alignment/>
      <protection/>
    </xf>
    <xf numFmtId="0" fontId="1" fillId="17" borderId="10" xfId="53" applyFont="1" applyFill="1" applyBorder="1">
      <alignment/>
      <protection/>
    </xf>
    <xf numFmtId="165" fontId="2" fillId="17" borderId="10" xfId="53" applyNumberFormat="1" applyFont="1" applyFill="1" applyBorder="1">
      <alignment/>
      <protection/>
    </xf>
    <xf numFmtId="0" fontId="1" fillId="17" borderId="10" xfId="53" applyFont="1" applyFill="1" applyBorder="1" applyAlignment="1">
      <alignment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 Microsoft Excel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http://www.drevzavod.ru/" TargetMode="External" /><Relationship Id="rId3" Type="http://schemas.openxmlformats.org/officeDocument/2006/relationships/hyperlink" Target="http://www.drevzavod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40</xdr:row>
      <xdr:rowOff>0</xdr:rowOff>
    </xdr:from>
    <xdr:to>
      <xdr:col>7</xdr:col>
      <xdr:colOff>200025</xdr:colOff>
      <xdr:row>71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7620000"/>
          <a:ext cx="3905250" cy="605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19</xdr:row>
      <xdr:rowOff>57150</xdr:rowOff>
    </xdr:from>
    <xdr:to>
      <xdr:col>24</xdr:col>
      <xdr:colOff>228600</xdr:colOff>
      <xdr:row>38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67925" y="3676650"/>
          <a:ext cx="4791075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342900</xdr:colOff>
      <xdr:row>0</xdr:row>
      <xdr:rowOff>0</xdr:rowOff>
    </xdr:from>
    <xdr:to>
      <xdr:col>24</xdr:col>
      <xdr:colOff>266700</xdr:colOff>
      <xdr:row>19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0" y="0"/>
          <a:ext cx="480060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76200</xdr:colOff>
      <xdr:row>35</xdr:row>
      <xdr:rowOff>19050</xdr:rowOff>
    </xdr:from>
    <xdr:to>
      <xdr:col>25</xdr:col>
      <xdr:colOff>161925</xdr:colOff>
      <xdr:row>44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77800" y="6686550"/>
          <a:ext cx="25241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257175</xdr:colOff>
      <xdr:row>38</xdr:row>
      <xdr:rowOff>104775</xdr:rowOff>
    </xdr:from>
    <xdr:to>
      <xdr:col>20</xdr:col>
      <xdr:colOff>276225</xdr:colOff>
      <xdr:row>47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10775" y="7343775"/>
          <a:ext cx="24574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9525</xdr:rowOff>
    </xdr:from>
    <xdr:to>
      <xdr:col>7</xdr:col>
      <xdr:colOff>0</xdr:colOff>
      <xdr:row>41</xdr:row>
      <xdr:rowOff>76200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581025"/>
          <a:ext cx="4267200" cy="730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75</xdr:row>
      <xdr:rowOff>171450</xdr:rowOff>
    </xdr:from>
    <xdr:to>
      <xdr:col>5</xdr:col>
      <xdr:colOff>390525</xdr:colOff>
      <xdr:row>86</xdr:row>
      <xdr:rowOff>171450</xdr:rowOff>
    </xdr:to>
    <xdr:sp>
      <xdr:nvSpPr>
        <xdr:cNvPr id="7" name="Rectangle 7"/>
        <xdr:cNvSpPr>
          <a:spLocks/>
        </xdr:cNvSpPr>
      </xdr:nvSpPr>
      <xdr:spPr>
        <a:xfrm>
          <a:off x="0" y="14458950"/>
          <a:ext cx="3438525" cy="2095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600075</xdr:colOff>
      <xdr:row>35</xdr:row>
      <xdr:rowOff>171450</xdr:rowOff>
    </xdr:from>
    <xdr:to>
      <xdr:col>13</xdr:col>
      <xdr:colOff>504825</xdr:colOff>
      <xdr:row>44</xdr:row>
      <xdr:rowOff>142875</xdr:rowOff>
    </xdr:to>
    <xdr:sp>
      <xdr:nvSpPr>
        <xdr:cNvPr id="8" name="Rectangle 8"/>
        <xdr:cNvSpPr>
          <a:spLocks/>
        </xdr:cNvSpPr>
      </xdr:nvSpPr>
      <xdr:spPr>
        <a:xfrm>
          <a:off x="6086475" y="6838950"/>
          <a:ext cx="2343150" cy="1685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371475</xdr:colOff>
      <xdr:row>18</xdr:row>
      <xdr:rowOff>38100</xdr:rowOff>
    </xdr:from>
    <xdr:to>
      <xdr:col>13</xdr:col>
      <xdr:colOff>295275</xdr:colOff>
      <xdr:row>27</xdr:row>
      <xdr:rowOff>38100</xdr:rowOff>
    </xdr:to>
    <xdr:sp>
      <xdr:nvSpPr>
        <xdr:cNvPr id="9" name="Rectangle 9"/>
        <xdr:cNvSpPr>
          <a:spLocks/>
        </xdr:cNvSpPr>
      </xdr:nvSpPr>
      <xdr:spPr>
        <a:xfrm>
          <a:off x="6467475" y="3467100"/>
          <a:ext cx="17526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600075</xdr:colOff>
      <xdr:row>29</xdr:row>
      <xdr:rowOff>171450</xdr:rowOff>
    </xdr:from>
    <xdr:to>
      <xdr:col>11</xdr:col>
      <xdr:colOff>552450</xdr:colOff>
      <xdr:row>35</xdr:row>
      <xdr:rowOff>171450</xdr:rowOff>
    </xdr:to>
    <xdr:sp>
      <xdr:nvSpPr>
        <xdr:cNvPr id="10" name="Rectangle 10"/>
        <xdr:cNvSpPr>
          <a:spLocks/>
        </xdr:cNvSpPr>
      </xdr:nvSpPr>
      <xdr:spPr>
        <a:xfrm>
          <a:off x="6086475" y="5695950"/>
          <a:ext cx="117157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76200</xdr:rowOff>
    </xdr:from>
    <xdr:to>
      <xdr:col>12</xdr:col>
      <xdr:colOff>171450</xdr:colOff>
      <xdr:row>33</xdr:row>
      <xdr:rowOff>180975</xdr:rowOff>
    </xdr:to>
    <xdr:sp>
      <xdr:nvSpPr>
        <xdr:cNvPr id="11" name="Rectangle 11"/>
        <xdr:cNvSpPr>
          <a:spLocks/>
        </xdr:cNvSpPr>
      </xdr:nvSpPr>
      <xdr:spPr>
        <a:xfrm rot="19380000">
          <a:off x="5486400" y="6362700"/>
          <a:ext cx="2000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600075</xdr:colOff>
      <xdr:row>38</xdr:row>
      <xdr:rowOff>0</xdr:rowOff>
    </xdr:from>
    <xdr:to>
      <xdr:col>13</xdr:col>
      <xdr:colOff>504825</xdr:colOff>
      <xdr:row>44</xdr:row>
      <xdr:rowOff>171450</xdr:rowOff>
    </xdr:to>
    <xdr:sp>
      <xdr:nvSpPr>
        <xdr:cNvPr id="12" name="Rectangle 12"/>
        <xdr:cNvSpPr>
          <a:spLocks/>
        </xdr:cNvSpPr>
      </xdr:nvSpPr>
      <xdr:spPr>
        <a:xfrm>
          <a:off x="6086475" y="7239000"/>
          <a:ext cx="2343150" cy="131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600075</xdr:colOff>
      <xdr:row>44</xdr:row>
      <xdr:rowOff>142875</xdr:rowOff>
    </xdr:from>
    <xdr:to>
      <xdr:col>13</xdr:col>
      <xdr:colOff>504825</xdr:colOff>
      <xdr:row>45</xdr:row>
      <xdr:rowOff>171450</xdr:rowOff>
    </xdr:to>
    <xdr:sp>
      <xdr:nvSpPr>
        <xdr:cNvPr id="13" name="Rectangle 13"/>
        <xdr:cNvSpPr>
          <a:spLocks/>
        </xdr:cNvSpPr>
      </xdr:nvSpPr>
      <xdr:spPr>
        <a:xfrm>
          <a:off x="6086475" y="8524875"/>
          <a:ext cx="23431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38</xdr:row>
      <xdr:rowOff>0</xdr:rowOff>
    </xdr:from>
    <xdr:to>
      <xdr:col>9</xdr:col>
      <xdr:colOff>600075</xdr:colOff>
      <xdr:row>44</xdr:row>
      <xdr:rowOff>152400</xdr:rowOff>
    </xdr:to>
    <xdr:sp>
      <xdr:nvSpPr>
        <xdr:cNvPr id="14" name="Rectangle 14"/>
        <xdr:cNvSpPr>
          <a:spLocks/>
        </xdr:cNvSpPr>
      </xdr:nvSpPr>
      <xdr:spPr>
        <a:xfrm>
          <a:off x="4981575" y="7239000"/>
          <a:ext cx="1104900" cy="1295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38</xdr:row>
      <xdr:rowOff>0</xdr:rowOff>
    </xdr:from>
    <xdr:to>
      <xdr:col>9</xdr:col>
      <xdr:colOff>600075</xdr:colOff>
      <xdr:row>44</xdr:row>
      <xdr:rowOff>171450</xdr:rowOff>
    </xdr:to>
    <xdr:sp>
      <xdr:nvSpPr>
        <xdr:cNvPr id="15" name="Rectangle 15"/>
        <xdr:cNvSpPr>
          <a:spLocks/>
        </xdr:cNvSpPr>
      </xdr:nvSpPr>
      <xdr:spPr>
        <a:xfrm>
          <a:off x="4981575" y="7239000"/>
          <a:ext cx="1104900" cy="131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44</xdr:row>
      <xdr:rowOff>142875</xdr:rowOff>
    </xdr:from>
    <xdr:to>
      <xdr:col>9</xdr:col>
      <xdr:colOff>600075</xdr:colOff>
      <xdr:row>45</xdr:row>
      <xdr:rowOff>171450</xdr:rowOff>
    </xdr:to>
    <xdr:sp>
      <xdr:nvSpPr>
        <xdr:cNvPr id="16" name="Rectangle 16"/>
        <xdr:cNvSpPr>
          <a:spLocks/>
        </xdr:cNvSpPr>
      </xdr:nvSpPr>
      <xdr:spPr>
        <a:xfrm>
          <a:off x="4981575" y="8524875"/>
          <a:ext cx="11049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53</xdr:row>
      <xdr:rowOff>133350</xdr:rowOff>
    </xdr:from>
    <xdr:to>
      <xdr:col>13</xdr:col>
      <xdr:colOff>228600</xdr:colOff>
      <xdr:row>63</xdr:row>
      <xdr:rowOff>123825</xdr:rowOff>
    </xdr:to>
    <xdr:grpSp>
      <xdr:nvGrpSpPr>
        <xdr:cNvPr id="17" name="Group 17"/>
        <xdr:cNvGrpSpPr>
          <a:grpSpLocks/>
        </xdr:cNvGrpSpPr>
      </xdr:nvGrpSpPr>
      <xdr:grpSpPr>
        <a:xfrm>
          <a:off x="5143500" y="10229850"/>
          <a:ext cx="3009900" cy="1895475"/>
          <a:chOff x="459" y="849"/>
          <a:chExt cx="116" cy="169"/>
        </a:xfrm>
        <a:solidFill>
          <a:srgbClr val="FFFFFF"/>
        </a:solidFill>
      </xdr:grpSpPr>
      <xdr:sp>
        <xdr:nvSpPr>
          <xdr:cNvPr id="18" name="Rectangle 18"/>
          <xdr:cNvSpPr>
            <a:spLocks/>
          </xdr:cNvSpPr>
        </xdr:nvSpPr>
        <xdr:spPr>
          <a:xfrm>
            <a:off x="459" y="849"/>
            <a:ext cx="116" cy="15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Rectangle 19"/>
          <xdr:cNvSpPr>
            <a:spLocks/>
          </xdr:cNvSpPr>
        </xdr:nvSpPr>
        <xdr:spPr>
          <a:xfrm>
            <a:off x="459" y="884"/>
            <a:ext cx="116" cy="1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>
            <a:off x="459" y="999"/>
            <a:ext cx="116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257175</xdr:colOff>
      <xdr:row>48</xdr:row>
      <xdr:rowOff>47625</xdr:rowOff>
    </xdr:from>
    <xdr:to>
      <xdr:col>10</xdr:col>
      <xdr:colOff>561975</xdr:colOff>
      <xdr:row>55</xdr:row>
      <xdr:rowOff>142875</xdr:rowOff>
    </xdr:to>
    <xdr:sp>
      <xdr:nvSpPr>
        <xdr:cNvPr id="21" name="Rectangle 21"/>
        <xdr:cNvSpPr>
          <a:spLocks/>
        </xdr:cNvSpPr>
      </xdr:nvSpPr>
      <xdr:spPr>
        <a:xfrm>
          <a:off x="5133975" y="9191625"/>
          <a:ext cx="1524000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342900</xdr:colOff>
      <xdr:row>52</xdr:row>
      <xdr:rowOff>66675</xdr:rowOff>
    </xdr:from>
    <xdr:to>
      <xdr:col>11</xdr:col>
      <xdr:colOff>200025</xdr:colOff>
      <xdr:row>52</xdr:row>
      <xdr:rowOff>180975</xdr:rowOff>
    </xdr:to>
    <xdr:sp>
      <xdr:nvSpPr>
        <xdr:cNvPr id="22" name="Rectangle 22"/>
        <xdr:cNvSpPr>
          <a:spLocks/>
        </xdr:cNvSpPr>
      </xdr:nvSpPr>
      <xdr:spPr>
        <a:xfrm rot="19380000">
          <a:off x="4610100" y="9972675"/>
          <a:ext cx="22955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85725</xdr:colOff>
      <xdr:row>30</xdr:row>
      <xdr:rowOff>133350</xdr:rowOff>
    </xdr:from>
    <xdr:to>
      <xdr:col>9</xdr:col>
      <xdr:colOff>600075</xdr:colOff>
      <xdr:row>38</xdr:row>
      <xdr:rowOff>9525</xdr:rowOff>
    </xdr:to>
    <xdr:sp>
      <xdr:nvSpPr>
        <xdr:cNvPr id="23" name="Rectangle 23"/>
        <xdr:cNvSpPr>
          <a:spLocks/>
        </xdr:cNvSpPr>
      </xdr:nvSpPr>
      <xdr:spPr>
        <a:xfrm>
          <a:off x="4962525" y="5848350"/>
          <a:ext cx="11239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447675</xdr:colOff>
      <xdr:row>30</xdr:row>
      <xdr:rowOff>123825</xdr:rowOff>
    </xdr:from>
    <xdr:to>
      <xdr:col>11</xdr:col>
      <xdr:colOff>390525</xdr:colOff>
      <xdr:row>39</xdr:row>
      <xdr:rowOff>57150</xdr:rowOff>
    </xdr:to>
    <xdr:sp>
      <xdr:nvSpPr>
        <xdr:cNvPr id="24" name="Rectangle 24"/>
        <xdr:cNvSpPr>
          <a:spLocks/>
        </xdr:cNvSpPr>
      </xdr:nvSpPr>
      <xdr:spPr>
        <a:xfrm>
          <a:off x="4714875" y="5838825"/>
          <a:ext cx="2381250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123825</xdr:rowOff>
    </xdr:from>
    <xdr:to>
      <xdr:col>12</xdr:col>
      <xdr:colOff>133350</xdr:colOff>
      <xdr:row>33</xdr:row>
      <xdr:rowOff>19050</xdr:rowOff>
    </xdr:to>
    <xdr:sp>
      <xdr:nvSpPr>
        <xdr:cNvPr id="25" name="Rectangle 25"/>
        <xdr:cNvSpPr>
          <a:spLocks/>
        </xdr:cNvSpPr>
      </xdr:nvSpPr>
      <xdr:spPr>
        <a:xfrm rot="19380000">
          <a:off x="5848350" y="6219825"/>
          <a:ext cx="1600200" cy="85725"/>
        </a:xfrm>
        <a:prstGeom prst="rect">
          <a:avLst/>
        </a:prstGeom>
        <a:solidFill>
          <a:srgbClr val="FFCC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142875</xdr:rowOff>
    </xdr:from>
    <xdr:to>
      <xdr:col>11</xdr:col>
      <xdr:colOff>209550</xdr:colOff>
      <xdr:row>52</xdr:row>
      <xdr:rowOff>76200</xdr:rowOff>
    </xdr:to>
    <xdr:sp>
      <xdr:nvSpPr>
        <xdr:cNvPr id="26" name="Rectangle 26"/>
        <xdr:cNvSpPr>
          <a:spLocks/>
        </xdr:cNvSpPr>
      </xdr:nvSpPr>
      <xdr:spPr>
        <a:xfrm rot="19380000">
          <a:off x="4876800" y="9858375"/>
          <a:ext cx="2038350" cy="123825"/>
        </a:xfrm>
        <a:prstGeom prst="rect">
          <a:avLst/>
        </a:prstGeom>
        <a:solidFill>
          <a:srgbClr val="FFCC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600075</xdr:colOff>
      <xdr:row>39</xdr:row>
      <xdr:rowOff>85725</xdr:rowOff>
    </xdr:from>
    <xdr:to>
      <xdr:col>11</xdr:col>
      <xdr:colOff>381000</xdr:colOff>
      <xdr:row>41</xdr:row>
      <xdr:rowOff>123825</xdr:rowOff>
    </xdr:to>
    <xdr:sp>
      <xdr:nvSpPr>
        <xdr:cNvPr id="27" name="Rectangle 27"/>
        <xdr:cNvSpPr>
          <a:spLocks/>
        </xdr:cNvSpPr>
      </xdr:nvSpPr>
      <xdr:spPr>
        <a:xfrm>
          <a:off x="6086475" y="7515225"/>
          <a:ext cx="10001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323850</xdr:colOff>
      <xdr:row>30</xdr:row>
      <xdr:rowOff>57150</xdr:rowOff>
    </xdr:from>
    <xdr:to>
      <xdr:col>11</xdr:col>
      <xdr:colOff>581025</xdr:colOff>
      <xdr:row>30</xdr:row>
      <xdr:rowOff>171450</xdr:rowOff>
    </xdr:to>
    <xdr:sp>
      <xdr:nvSpPr>
        <xdr:cNvPr id="28" name="Rectangle 28"/>
        <xdr:cNvSpPr>
          <a:spLocks/>
        </xdr:cNvSpPr>
      </xdr:nvSpPr>
      <xdr:spPr>
        <a:xfrm rot="19380000">
          <a:off x="7029450" y="5772150"/>
          <a:ext cx="257175" cy="114300"/>
        </a:xfrm>
        <a:prstGeom prst="rect">
          <a:avLst/>
        </a:prstGeom>
        <a:solidFill>
          <a:srgbClr val="FFCC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400050</xdr:colOff>
      <xdr:row>32</xdr:row>
      <xdr:rowOff>180975</xdr:rowOff>
    </xdr:from>
    <xdr:to>
      <xdr:col>11</xdr:col>
      <xdr:colOff>495300</xdr:colOff>
      <xdr:row>33</xdr:row>
      <xdr:rowOff>123825</xdr:rowOff>
    </xdr:to>
    <xdr:sp>
      <xdr:nvSpPr>
        <xdr:cNvPr id="29" name="Rectangle 29"/>
        <xdr:cNvSpPr>
          <a:spLocks/>
        </xdr:cNvSpPr>
      </xdr:nvSpPr>
      <xdr:spPr>
        <a:xfrm rot="19380000">
          <a:off x="5886450" y="6276975"/>
          <a:ext cx="1314450" cy="133350"/>
        </a:xfrm>
        <a:prstGeom prst="rect">
          <a:avLst/>
        </a:prstGeom>
        <a:solidFill>
          <a:srgbClr val="FFCC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123825</xdr:colOff>
      <xdr:row>33</xdr:row>
      <xdr:rowOff>85725</xdr:rowOff>
    </xdr:from>
    <xdr:to>
      <xdr:col>12</xdr:col>
      <xdr:colOff>409575</xdr:colOff>
      <xdr:row>36</xdr:row>
      <xdr:rowOff>152400</xdr:rowOff>
    </xdr:to>
    <xdr:sp>
      <xdr:nvSpPr>
        <xdr:cNvPr id="30" name="Rectangle 30"/>
        <xdr:cNvSpPr>
          <a:spLocks/>
        </xdr:cNvSpPr>
      </xdr:nvSpPr>
      <xdr:spPr>
        <a:xfrm>
          <a:off x="6829425" y="6372225"/>
          <a:ext cx="8953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228600</xdr:colOff>
      <xdr:row>51</xdr:row>
      <xdr:rowOff>76200</xdr:rowOff>
    </xdr:from>
    <xdr:to>
      <xdr:col>11</xdr:col>
      <xdr:colOff>295275</xdr:colOff>
      <xdr:row>54</xdr:row>
      <xdr:rowOff>142875</xdr:rowOff>
    </xdr:to>
    <xdr:sp>
      <xdr:nvSpPr>
        <xdr:cNvPr id="31" name="Rectangle 31"/>
        <xdr:cNvSpPr>
          <a:spLocks/>
        </xdr:cNvSpPr>
      </xdr:nvSpPr>
      <xdr:spPr>
        <a:xfrm>
          <a:off x="6324600" y="9791700"/>
          <a:ext cx="6762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542925</xdr:colOff>
      <xdr:row>0</xdr:row>
      <xdr:rowOff>76200</xdr:rowOff>
    </xdr:from>
    <xdr:to>
      <xdr:col>7</xdr:col>
      <xdr:colOff>542925</xdr:colOff>
      <xdr:row>2</xdr:row>
      <xdr:rowOff>209550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620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13</xdr:row>
      <xdr:rowOff>47625</xdr:rowOff>
    </xdr:from>
    <xdr:to>
      <xdr:col>4</xdr:col>
      <xdr:colOff>400050</xdr:colOff>
      <xdr:row>25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895475" y="2295525"/>
          <a:ext cx="942975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542925</xdr:colOff>
      <xdr:row>7</xdr:row>
      <xdr:rowOff>76200</xdr:rowOff>
    </xdr:from>
    <xdr:to>
      <xdr:col>3</xdr:col>
      <xdr:colOff>66675</xdr:colOff>
      <xdr:row>26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1762125" y="1266825"/>
          <a:ext cx="133350" cy="3467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409575</xdr:colOff>
      <xdr:row>4</xdr:row>
      <xdr:rowOff>47625</xdr:rowOff>
    </xdr:from>
    <xdr:to>
      <xdr:col>4</xdr:col>
      <xdr:colOff>552450</xdr:colOff>
      <xdr:row>31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2847975" y="723900"/>
          <a:ext cx="142875" cy="5086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361950</xdr:colOff>
      <xdr:row>4</xdr:row>
      <xdr:rowOff>38100</xdr:rowOff>
    </xdr:from>
    <xdr:to>
      <xdr:col>6</xdr:col>
      <xdr:colOff>504825</xdr:colOff>
      <xdr:row>31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4019550" y="714375"/>
          <a:ext cx="142875" cy="5086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152400</xdr:colOff>
      <xdr:row>4</xdr:row>
      <xdr:rowOff>47625</xdr:rowOff>
    </xdr:from>
    <xdr:to>
      <xdr:col>8</xdr:col>
      <xdr:colOff>295275</xdr:colOff>
      <xdr:row>29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5029200" y="723900"/>
          <a:ext cx="142875" cy="462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</xdr:colOff>
      <xdr:row>7</xdr:row>
      <xdr:rowOff>66675</xdr:rowOff>
    </xdr:from>
    <xdr:to>
      <xdr:col>4</xdr:col>
      <xdr:colOff>409575</xdr:colOff>
      <xdr:row>8</xdr:row>
      <xdr:rowOff>47625</xdr:rowOff>
    </xdr:to>
    <xdr:sp>
      <xdr:nvSpPr>
        <xdr:cNvPr id="6" name="Rectangle 6"/>
        <xdr:cNvSpPr>
          <a:spLocks/>
        </xdr:cNvSpPr>
      </xdr:nvSpPr>
      <xdr:spPr>
        <a:xfrm>
          <a:off x="1895475" y="1257300"/>
          <a:ext cx="952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257175</xdr:colOff>
      <xdr:row>13</xdr:row>
      <xdr:rowOff>47625</xdr:rowOff>
    </xdr:from>
    <xdr:to>
      <xdr:col>3</xdr:col>
      <xdr:colOff>381000</xdr:colOff>
      <xdr:row>25</xdr:row>
      <xdr:rowOff>19050</xdr:rowOff>
    </xdr:to>
    <xdr:sp>
      <xdr:nvSpPr>
        <xdr:cNvPr id="7" name="Rectangle 7"/>
        <xdr:cNvSpPr>
          <a:spLocks/>
        </xdr:cNvSpPr>
      </xdr:nvSpPr>
      <xdr:spPr>
        <a:xfrm>
          <a:off x="2085975" y="2295525"/>
          <a:ext cx="123825" cy="2257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</xdr:colOff>
      <xdr:row>25</xdr:row>
      <xdr:rowOff>19050</xdr:rowOff>
    </xdr:from>
    <xdr:to>
      <xdr:col>4</xdr:col>
      <xdr:colOff>409575</xdr:colOff>
      <xdr:row>26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895475" y="4552950"/>
          <a:ext cx="952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13</xdr:row>
      <xdr:rowOff>57150</xdr:rowOff>
    </xdr:from>
    <xdr:to>
      <xdr:col>4</xdr:col>
      <xdr:colOff>209550</xdr:colOff>
      <xdr:row>25</xdr:row>
      <xdr:rowOff>19050</xdr:rowOff>
    </xdr:to>
    <xdr:sp>
      <xdr:nvSpPr>
        <xdr:cNvPr id="9" name="Rectangle 9"/>
        <xdr:cNvSpPr>
          <a:spLocks/>
        </xdr:cNvSpPr>
      </xdr:nvSpPr>
      <xdr:spPr>
        <a:xfrm>
          <a:off x="2524125" y="2305050"/>
          <a:ext cx="123825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</xdr:colOff>
      <xdr:row>12</xdr:row>
      <xdr:rowOff>66675</xdr:rowOff>
    </xdr:from>
    <xdr:to>
      <xdr:col>4</xdr:col>
      <xdr:colOff>409575</xdr:colOff>
      <xdr:row>13</xdr:row>
      <xdr:rowOff>47625</xdr:rowOff>
    </xdr:to>
    <xdr:sp>
      <xdr:nvSpPr>
        <xdr:cNvPr id="10" name="Rectangle 10"/>
        <xdr:cNvSpPr>
          <a:spLocks/>
        </xdr:cNvSpPr>
      </xdr:nvSpPr>
      <xdr:spPr>
        <a:xfrm>
          <a:off x="1895475" y="2124075"/>
          <a:ext cx="952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542925</xdr:colOff>
      <xdr:row>4</xdr:row>
      <xdr:rowOff>47625</xdr:rowOff>
    </xdr:from>
    <xdr:to>
      <xdr:col>6</xdr:col>
      <xdr:colOff>361950</xdr:colOff>
      <xdr:row>5</xdr:row>
      <xdr:rowOff>19050</xdr:rowOff>
    </xdr:to>
    <xdr:sp>
      <xdr:nvSpPr>
        <xdr:cNvPr id="11" name="Rectangle 11"/>
        <xdr:cNvSpPr>
          <a:spLocks/>
        </xdr:cNvSpPr>
      </xdr:nvSpPr>
      <xdr:spPr>
        <a:xfrm>
          <a:off x="2981325" y="723900"/>
          <a:ext cx="10382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504825</xdr:colOff>
      <xdr:row>4</xdr:row>
      <xdr:rowOff>57150</xdr:rowOff>
    </xdr:from>
    <xdr:to>
      <xdr:col>8</xdr:col>
      <xdr:colOff>152400</xdr:colOff>
      <xdr:row>5</xdr:row>
      <xdr:rowOff>28575</xdr:rowOff>
    </xdr:to>
    <xdr:sp>
      <xdr:nvSpPr>
        <xdr:cNvPr id="12" name="Rectangle 12"/>
        <xdr:cNvSpPr>
          <a:spLocks/>
        </xdr:cNvSpPr>
      </xdr:nvSpPr>
      <xdr:spPr>
        <a:xfrm>
          <a:off x="4162425" y="733425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495300</xdr:colOff>
      <xdr:row>16</xdr:row>
      <xdr:rowOff>19050</xdr:rowOff>
    </xdr:from>
    <xdr:to>
      <xdr:col>8</xdr:col>
      <xdr:colOff>142875</xdr:colOff>
      <xdr:row>17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152900" y="2838450"/>
          <a:ext cx="8667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228600</xdr:colOff>
      <xdr:row>19</xdr:row>
      <xdr:rowOff>180975</xdr:rowOff>
    </xdr:from>
    <xdr:to>
      <xdr:col>8</xdr:col>
      <xdr:colOff>161925</xdr:colOff>
      <xdr:row>20</xdr:row>
      <xdr:rowOff>152400</xdr:rowOff>
    </xdr:to>
    <xdr:sp>
      <xdr:nvSpPr>
        <xdr:cNvPr id="14" name="Rectangle 14"/>
        <xdr:cNvSpPr>
          <a:spLocks/>
        </xdr:cNvSpPr>
      </xdr:nvSpPr>
      <xdr:spPr>
        <a:xfrm>
          <a:off x="4495800" y="3571875"/>
          <a:ext cx="542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495300</xdr:colOff>
      <xdr:row>20</xdr:row>
      <xdr:rowOff>152400</xdr:rowOff>
    </xdr:from>
    <xdr:to>
      <xdr:col>7</xdr:col>
      <xdr:colOff>371475</xdr:colOff>
      <xdr:row>21</xdr:row>
      <xdr:rowOff>133350</xdr:rowOff>
    </xdr:to>
    <xdr:sp>
      <xdr:nvSpPr>
        <xdr:cNvPr id="15" name="Rectangle 15"/>
        <xdr:cNvSpPr>
          <a:spLocks/>
        </xdr:cNvSpPr>
      </xdr:nvSpPr>
      <xdr:spPr>
        <a:xfrm>
          <a:off x="4152900" y="3733800"/>
          <a:ext cx="4857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504825</xdr:colOff>
      <xdr:row>28</xdr:row>
      <xdr:rowOff>66675</xdr:rowOff>
    </xdr:from>
    <xdr:to>
      <xdr:col>8</xdr:col>
      <xdr:colOff>152400</xdr:colOff>
      <xdr:row>29</xdr:row>
      <xdr:rowOff>47625</xdr:rowOff>
    </xdr:to>
    <xdr:sp>
      <xdr:nvSpPr>
        <xdr:cNvPr id="16" name="Rectangle 16"/>
        <xdr:cNvSpPr>
          <a:spLocks/>
        </xdr:cNvSpPr>
      </xdr:nvSpPr>
      <xdr:spPr>
        <a:xfrm>
          <a:off x="4162425" y="5172075"/>
          <a:ext cx="8667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552450</xdr:colOff>
      <xdr:row>16</xdr:row>
      <xdr:rowOff>19050</xdr:rowOff>
    </xdr:from>
    <xdr:to>
      <xdr:col>6</xdr:col>
      <xdr:colOff>371475</xdr:colOff>
      <xdr:row>17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2990850" y="2838450"/>
          <a:ext cx="10382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552450</xdr:colOff>
      <xdr:row>24</xdr:row>
      <xdr:rowOff>114300</xdr:rowOff>
    </xdr:from>
    <xdr:to>
      <xdr:col>6</xdr:col>
      <xdr:colOff>371475</xdr:colOff>
      <xdr:row>25</xdr:row>
      <xdr:rowOff>85725</xdr:rowOff>
    </xdr:to>
    <xdr:sp>
      <xdr:nvSpPr>
        <xdr:cNvPr id="18" name="Rectangle 18"/>
        <xdr:cNvSpPr>
          <a:spLocks/>
        </xdr:cNvSpPr>
      </xdr:nvSpPr>
      <xdr:spPr>
        <a:xfrm>
          <a:off x="2990850" y="4457700"/>
          <a:ext cx="10382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552450</xdr:colOff>
      <xdr:row>28</xdr:row>
      <xdr:rowOff>76200</xdr:rowOff>
    </xdr:from>
    <xdr:to>
      <xdr:col>6</xdr:col>
      <xdr:colOff>361950</xdr:colOff>
      <xdr:row>29</xdr:row>
      <xdr:rowOff>57150</xdr:rowOff>
    </xdr:to>
    <xdr:sp>
      <xdr:nvSpPr>
        <xdr:cNvPr id="19" name="Rectangle 19"/>
        <xdr:cNvSpPr>
          <a:spLocks/>
        </xdr:cNvSpPr>
      </xdr:nvSpPr>
      <xdr:spPr>
        <a:xfrm>
          <a:off x="2990850" y="5181600"/>
          <a:ext cx="1028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552450</xdr:colOff>
      <xdr:row>30</xdr:row>
      <xdr:rowOff>142875</xdr:rowOff>
    </xdr:from>
    <xdr:to>
      <xdr:col>6</xdr:col>
      <xdr:colOff>361950</xdr:colOff>
      <xdr:row>31</xdr:row>
      <xdr:rowOff>123825</xdr:rowOff>
    </xdr:to>
    <xdr:sp>
      <xdr:nvSpPr>
        <xdr:cNvPr id="20" name="Rectangle 20"/>
        <xdr:cNvSpPr>
          <a:spLocks/>
        </xdr:cNvSpPr>
      </xdr:nvSpPr>
      <xdr:spPr>
        <a:xfrm>
          <a:off x="2990850" y="5629275"/>
          <a:ext cx="1028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38</xdr:row>
      <xdr:rowOff>171450</xdr:rowOff>
    </xdr:from>
    <xdr:to>
      <xdr:col>6</xdr:col>
      <xdr:colOff>0</xdr:colOff>
      <xdr:row>39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1314450" y="6753225"/>
          <a:ext cx="23431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38</xdr:row>
      <xdr:rowOff>152400</xdr:rowOff>
    </xdr:from>
    <xdr:to>
      <xdr:col>2</xdr:col>
      <xdr:colOff>180975</xdr:colOff>
      <xdr:row>64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314450" y="6734175"/>
          <a:ext cx="85725" cy="480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504825</xdr:colOff>
      <xdr:row>38</xdr:row>
      <xdr:rowOff>171450</xdr:rowOff>
    </xdr:from>
    <xdr:to>
      <xdr:col>5</xdr:col>
      <xdr:colOff>590550</xdr:colOff>
      <xdr:row>64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3552825" y="6753225"/>
          <a:ext cx="85725" cy="479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63</xdr:row>
      <xdr:rowOff>85725</xdr:rowOff>
    </xdr:from>
    <xdr:to>
      <xdr:col>6</xdr:col>
      <xdr:colOff>0</xdr:colOff>
      <xdr:row>64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314450" y="11430000"/>
          <a:ext cx="23431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59</xdr:row>
      <xdr:rowOff>114300</xdr:rowOff>
    </xdr:from>
    <xdr:to>
      <xdr:col>3</xdr:col>
      <xdr:colOff>228600</xdr:colOff>
      <xdr:row>59</xdr:row>
      <xdr:rowOff>171450</xdr:rowOff>
    </xdr:to>
    <xdr:sp>
      <xdr:nvSpPr>
        <xdr:cNvPr id="5" name="Rectangle 5"/>
        <xdr:cNvSpPr>
          <a:spLocks/>
        </xdr:cNvSpPr>
      </xdr:nvSpPr>
      <xdr:spPr>
        <a:xfrm>
          <a:off x="1343025" y="10696575"/>
          <a:ext cx="714375" cy="571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381000</xdr:colOff>
      <xdr:row>49</xdr:row>
      <xdr:rowOff>9525</xdr:rowOff>
    </xdr:from>
    <xdr:to>
      <xdr:col>4</xdr:col>
      <xdr:colOff>428625</xdr:colOff>
      <xdr:row>55</xdr:row>
      <xdr:rowOff>85725</xdr:rowOff>
    </xdr:to>
    <xdr:sp>
      <xdr:nvSpPr>
        <xdr:cNvPr id="6" name="Rectangle 6"/>
        <xdr:cNvSpPr>
          <a:spLocks/>
        </xdr:cNvSpPr>
      </xdr:nvSpPr>
      <xdr:spPr>
        <a:xfrm>
          <a:off x="2819400" y="8686800"/>
          <a:ext cx="47625" cy="12192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209550</xdr:colOff>
      <xdr:row>55</xdr:row>
      <xdr:rowOff>38100</xdr:rowOff>
    </xdr:from>
    <xdr:to>
      <xdr:col>3</xdr:col>
      <xdr:colOff>247650</xdr:colOff>
      <xdr:row>63</xdr:row>
      <xdr:rowOff>180975</xdr:rowOff>
    </xdr:to>
    <xdr:sp>
      <xdr:nvSpPr>
        <xdr:cNvPr id="7" name="Rectangle 7"/>
        <xdr:cNvSpPr>
          <a:spLocks/>
        </xdr:cNvSpPr>
      </xdr:nvSpPr>
      <xdr:spPr>
        <a:xfrm rot="5400000">
          <a:off x="2038350" y="9858375"/>
          <a:ext cx="38100" cy="16668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49</xdr:row>
      <xdr:rowOff>38100</xdr:rowOff>
    </xdr:from>
    <xdr:to>
      <xdr:col>3</xdr:col>
      <xdr:colOff>295275</xdr:colOff>
      <xdr:row>51</xdr:row>
      <xdr:rowOff>123825</xdr:rowOff>
    </xdr:to>
    <xdr:sp>
      <xdr:nvSpPr>
        <xdr:cNvPr id="8" name="Rectangle 8"/>
        <xdr:cNvSpPr>
          <a:spLocks/>
        </xdr:cNvSpPr>
      </xdr:nvSpPr>
      <xdr:spPr>
        <a:xfrm>
          <a:off x="2066925" y="8715375"/>
          <a:ext cx="57150" cy="4667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247650</xdr:colOff>
      <xdr:row>55</xdr:row>
      <xdr:rowOff>19050</xdr:rowOff>
    </xdr:from>
    <xdr:to>
      <xdr:col>5</xdr:col>
      <xdr:colOff>552450</xdr:colOff>
      <xdr:row>55</xdr:row>
      <xdr:rowOff>85725</xdr:rowOff>
    </xdr:to>
    <xdr:sp>
      <xdr:nvSpPr>
        <xdr:cNvPr id="9" name="Rectangle 9"/>
        <xdr:cNvSpPr>
          <a:spLocks/>
        </xdr:cNvSpPr>
      </xdr:nvSpPr>
      <xdr:spPr>
        <a:xfrm>
          <a:off x="2076450" y="9839325"/>
          <a:ext cx="1524000" cy="666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247650</xdr:colOff>
      <xdr:row>49</xdr:row>
      <xdr:rowOff>19050</xdr:rowOff>
    </xdr:from>
    <xdr:to>
      <xdr:col>5</xdr:col>
      <xdr:colOff>600075</xdr:colOff>
      <xdr:row>49</xdr:row>
      <xdr:rowOff>85725</xdr:rowOff>
    </xdr:to>
    <xdr:sp>
      <xdr:nvSpPr>
        <xdr:cNvPr id="10" name="Rectangle 10"/>
        <xdr:cNvSpPr>
          <a:spLocks/>
        </xdr:cNvSpPr>
      </xdr:nvSpPr>
      <xdr:spPr>
        <a:xfrm>
          <a:off x="2076450" y="8696325"/>
          <a:ext cx="1571625" cy="666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51</xdr:row>
      <xdr:rowOff>76200</xdr:rowOff>
    </xdr:from>
    <xdr:to>
      <xdr:col>3</xdr:col>
      <xdr:colOff>295275</xdr:colOff>
      <xdr:row>51</xdr:row>
      <xdr:rowOff>123825</xdr:rowOff>
    </xdr:to>
    <xdr:sp>
      <xdr:nvSpPr>
        <xdr:cNvPr id="11" name="Rectangle 11"/>
        <xdr:cNvSpPr>
          <a:spLocks/>
        </xdr:cNvSpPr>
      </xdr:nvSpPr>
      <xdr:spPr>
        <a:xfrm>
          <a:off x="1333500" y="9134475"/>
          <a:ext cx="790575" cy="476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533400</xdr:colOff>
      <xdr:row>2</xdr:row>
      <xdr:rowOff>19050</xdr:rowOff>
    </xdr:from>
    <xdr:to>
      <xdr:col>6</xdr:col>
      <xdr:colOff>314325</xdr:colOff>
      <xdr:row>27</xdr:row>
      <xdr:rowOff>66675</xdr:rowOff>
    </xdr:to>
    <xdr:grpSp>
      <xdr:nvGrpSpPr>
        <xdr:cNvPr id="12" name="Group 12"/>
        <xdr:cNvGrpSpPr>
          <a:grpSpLocks/>
        </xdr:cNvGrpSpPr>
      </xdr:nvGrpSpPr>
      <xdr:grpSpPr>
        <a:xfrm>
          <a:off x="533400" y="371475"/>
          <a:ext cx="3438525" cy="4381500"/>
          <a:chOff x="56" y="138"/>
          <a:chExt cx="361" cy="429"/>
        </a:xfrm>
        <a:solidFill>
          <a:srgbClr val="FFFFFF"/>
        </a:solidFill>
      </xdr:grpSpPr>
      <xdr:sp>
        <xdr:nvSpPr>
          <xdr:cNvPr id="13" name="Rectangle 13"/>
          <xdr:cNvSpPr>
            <a:spLocks/>
          </xdr:cNvSpPr>
        </xdr:nvSpPr>
        <xdr:spPr>
          <a:xfrm>
            <a:off x="171" y="139"/>
            <a:ext cx="246" cy="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171" y="138"/>
            <a:ext cx="9" cy="4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406" y="139"/>
            <a:ext cx="9" cy="4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171" y="557"/>
            <a:ext cx="246" cy="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>
            <a:off x="57" y="194"/>
            <a:ext cx="115" cy="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Rectangle 18"/>
          <xdr:cNvSpPr>
            <a:spLocks/>
          </xdr:cNvSpPr>
        </xdr:nvSpPr>
        <xdr:spPr>
          <a:xfrm>
            <a:off x="56" y="502"/>
            <a:ext cx="115" cy="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Rectangle 19"/>
          <xdr:cNvSpPr>
            <a:spLocks/>
          </xdr:cNvSpPr>
        </xdr:nvSpPr>
        <xdr:spPr>
          <a:xfrm>
            <a:off x="57" y="195"/>
            <a:ext cx="9" cy="3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>
            <a:off x="170" y="347"/>
            <a:ext cx="246" cy="5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>
            <a:off x="172" y="492"/>
            <a:ext cx="124" cy="6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Rectangle 22"/>
          <xdr:cNvSpPr>
            <a:spLocks/>
          </xdr:cNvSpPr>
        </xdr:nvSpPr>
        <xdr:spPr>
          <a:xfrm>
            <a:off x="292" y="431"/>
            <a:ext cx="7" cy="133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Rectangle 23"/>
          <xdr:cNvSpPr>
            <a:spLocks/>
          </xdr:cNvSpPr>
        </xdr:nvSpPr>
        <xdr:spPr>
          <a:xfrm>
            <a:off x="291" y="431"/>
            <a:ext cx="60" cy="7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Rectangle 24"/>
          <xdr:cNvSpPr>
            <a:spLocks/>
          </xdr:cNvSpPr>
        </xdr:nvSpPr>
        <xdr:spPr>
          <a:xfrm>
            <a:off x="347" y="406"/>
            <a:ext cx="8" cy="33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>
            <a:off x="348" y="405"/>
            <a:ext cx="60" cy="7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Rectangle 26"/>
          <xdr:cNvSpPr>
            <a:spLocks/>
          </xdr:cNvSpPr>
        </xdr:nvSpPr>
        <xdr:spPr>
          <a:xfrm>
            <a:off x="65" y="281"/>
            <a:ext cx="108" cy="6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Rectangle 27"/>
          <xdr:cNvSpPr>
            <a:spLocks/>
          </xdr:cNvSpPr>
        </xdr:nvSpPr>
        <xdr:spPr>
          <a:xfrm>
            <a:off x="170" y="311"/>
            <a:ext cx="246" cy="9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Rectangle 28"/>
          <xdr:cNvSpPr>
            <a:spLocks/>
          </xdr:cNvSpPr>
        </xdr:nvSpPr>
        <xdr:spPr>
          <a:xfrm>
            <a:off x="307" y="349"/>
            <a:ext cx="6" cy="9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Rectangle 29"/>
          <xdr:cNvSpPr>
            <a:spLocks/>
          </xdr:cNvSpPr>
        </xdr:nvSpPr>
        <xdr:spPr>
          <a:xfrm>
            <a:off x="254" y="347"/>
            <a:ext cx="50" cy="6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28575</xdr:colOff>
      <xdr:row>41</xdr:row>
      <xdr:rowOff>19050</xdr:rowOff>
    </xdr:from>
    <xdr:to>
      <xdr:col>12</xdr:col>
      <xdr:colOff>333375</xdr:colOff>
      <xdr:row>48</xdr:row>
      <xdr:rowOff>123825</xdr:rowOff>
    </xdr:to>
    <xdr:sp>
      <xdr:nvSpPr>
        <xdr:cNvPr id="30" name="Rectangle 30"/>
        <xdr:cNvSpPr>
          <a:spLocks/>
        </xdr:cNvSpPr>
      </xdr:nvSpPr>
      <xdr:spPr>
        <a:xfrm>
          <a:off x="6124575" y="7172325"/>
          <a:ext cx="152400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76200</xdr:colOff>
      <xdr:row>40</xdr:row>
      <xdr:rowOff>171450</xdr:rowOff>
    </xdr:from>
    <xdr:to>
      <xdr:col>15</xdr:col>
      <xdr:colOff>381000</xdr:colOff>
      <xdr:row>48</xdr:row>
      <xdr:rowOff>76200</xdr:rowOff>
    </xdr:to>
    <xdr:sp>
      <xdr:nvSpPr>
        <xdr:cNvPr id="31" name="Rectangle 31"/>
        <xdr:cNvSpPr>
          <a:spLocks/>
        </xdr:cNvSpPr>
      </xdr:nvSpPr>
      <xdr:spPr>
        <a:xfrm>
          <a:off x="8001000" y="7134225"/>
          <a:ext cx="1524000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333375</xdr:colOff>
      <xdr:row>41</xdr:row>
      <xdr:rowOff>57150</xdr:rowOff>
    </xdr:from>
    <xdr:to>
      <xdr:col>9</xdr:col>
      <xdr:colOff>285750</xdr:colOff>
      <xdr:row>47</xdr:row>
      <xdr:rowOff>57150</xdr:rowOff>
    </xdr:to>
    <xdr:sp>
      <xdr:nvSpPr>
        <xdr:cNvPr id="32" name="Rectangle 32"/>
        <xdr:cNvSpPr>
          <a:spLocks/>
        </xdr:cNvSpPr>
      </xdr:nvSpPr>
      <xdr:spPr>
        <a:xfrm>
          <a:off x="4600575" y="7210425"/>
          <a:ext cx="117157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314325</xdr:colOff>
      <xdr:row>48</xdr:row>
      <xdr:rowOff>76200</xdr:rowOff>
    </xdr:from>
    <xdr:to>
      <xdr:col>9</xdr:col>
      <xdr:colOff>266700</xdr:colOff>
      <xdr:row>54</xdr:row>
      <xdr:rowOff>76200</xdr:rowOff>
    </xdr:to>
    <xdr:sp>
      <xdr:nvSpPr>
        <xdr:cNvPr id="33" name="Rectangle 33"/>
        <xdr:cNvSpPr>
          <a:spLocks/>
        </xdr:cNvSpPr>
      </xdr:nvSpPr>
      <xdr:spPr>
        <a:xfrm>
          <a:off x="4581525" y="8562975"/>
          <a:ext cx="117157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352425</xdr:colOff>
      <xdr:row>20</xdr:row>
      <xdr:rowOff>47625</xdr:rowOff>
    </xdr:from>
    <xdr:to>
      <xdr:col>4</xdr:col>
      <xdr:colOff>428625</xdr:colOff>
      <xdr:row>22</xdr:row>
      <xdr:rowOff>85725</xdr:rowOff>
    </xdr:to>
    <xdr:sp>
      <xdr:nvSpPr>
        <xdr:cNvPr id="34" name="Rectangle 34"/>
        <xdr:cNvSpPr>
          <a:spLocks/>
        </xdr:cNvSpPr>
      </xdr:nvSpPr>
      <xdr:spPr>
        <a:xfrm>
          <a:off x="2790825" y="3514725"/>
          <a:ext cx="76200" cy="3619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67</xdr:row>
      <xdr:rowOff>38100</xdr:rowOff>
    </xdr:from>
    <xdr:to>
      <xdr:col>5</xdr:col>
      <xdr:colOff>438150</xdr:colOff>
      <xdr:row>76</xdr:row>
      <xdr:rowOff>123825</xdr:rowOff>
    </xdr:to>
    <xdr:grpSp>
      <xdr:nvGrpSpPr>
        <xdr:cNvPr id="35" name="Group 35"/>
        <xdr:cNvGrpSpPr>
          <a:grpSpLocks/>
        </xdr:cNvGrpSpPr>
      </xdr:nvGrpSpPr>
      <xdr:grpSpPr>
        <a:xfrm>
          <a:off x="104775" y="12115800"/>
          <a:ext cx="3381375" cy="1800225"/>
          <a:chOff x="651" y="1091"/>
          <a:chExt cx="355" cy="161"/>
        </a:xfrm>
        <a:solidFill>
          <a:srgbClr val="FFFFFF"/>
        </a:solidFill>
      </xdr:grpSpPr>
      <xdr:grpSp>
        <xdr:nvGrpSpPr>
          <xdr:cNvPr id="36" name="Group 36"/>
          <xdr:cNvGrpSpPr>
            <a:grpSpLocks/>
          </xdr:cNvGrpSpPr>
        </xdr:nvGrpSpPr>
        <xdr:grpSpPr>
          <a:xfrm>
            <a:off x="651" y="1133"/>
            <a:ext cx="122" cy="119"/>
            <a:chOff x="651" y="1133"/>
            <a:chExt cx="122" cy="119"/>
          </a:xfrm>
          <a:solidFill>
            <a:srgbClr val="FFFFFF"/>
          </a:solidFill>
        </xdr:grpSpPr>
        <xdr:sp>
          <xdr:nvSpPr>
            <xdr:cNvPr id="37" name="Rectangle 37"/>
            <xdr:cNvSpPr>
              <a:spLocks/>
            </xdr:cNvSpPr>
          </xdr:nvSpPr>
          <xdr:spPr>
            <a:xfrm>
              <a:off x="651" y="1133"/>
              <a:ext cx="8" cy="11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8" name="Rectangle 38"/>
            <xdr:cNvSpPr>
              <a:spLocks/>
            </xdr:cNvSpPr>
          </xdr:nvSpPr>
          <xdr:spPr>
            <a:xfrm>
              <a:off x="663" y="1133"/>
              <a:ext cx="8" cy="11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9" name="Rectangle 39"/>
            <xdr:cNvSpPr>
              <a:spLocks/>
            </xdr:cNvSpPr>
          </xdr:nvSpPr>
          <xdr:spPr>
            <a:xfrm>
              <a:off x="703" y="1133"/>
              <a:ext cx="8" cy="11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0" name="Rectangle 40"/>
            <xdr:cNvSpPr>
              <a:spLocks/>
            </xdr:cNvSpPr>
          </xdr:nvSpPr>
          <xdr:spPr>
            <a:xfrm>
              <a:off x="715" y="1133"/>
              <a:ext cx="8" cy="11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1" name="Rectangle 41"/>
            <xdr:cNvSpPr>
              <a:spLocks/>
            </xdr:cNvSpPr>
          </xdr:nvSpPr>
          <xdr:spPr>
            <a:xfrm>
              <a:off x="753" y="1133"/>
              <a:ext cx="8" cy="11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2" name="Rectangle 42"/>
            <xdr:cNvSpPr>
              <a:spLocks/>
            </xdr:cNvSpPr>
          </xdr:nvSpPr>
          <xdr:spPr>
            <a:xfrm>
              <a:off x="765" y="1133"/>
              <a:ext cx="8" cy="11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43" name="Group 43"/>
          <xdr:cNvGrpSpPr>
            <a:grpSpLocks/>
          </xdr:cNvGrpSpPr>
        </xdr:nvGrpSpPr>
        <xdr:grpSpPr>
          <a:xfrm>
            <a:off x="857" y="1091"/>
            <a:ext cx="149" cy="155"/>
            <a:chOff x="857" y="1091"/>
            <a:chExt cx="149" cy="155"/>
          </a:xfrm>
          <a:solidFill>
            <a:srgbClr val="FFFFFF"/>
          </a:solidFill>
        </xdr:grpSpPr>
        <xdr:sp>
          <xdr:nvSpPr>
            <xdr:cNvPr id="44" name="Rectangle 44"/>
            <xdr:cNvSpPr>
              <a:spLocks/>
            </xdr:cNvSpPr>
          </xdr:nvSpPr>
          <xdr:spPr>
            <a:xfrm>
              <a:off x="857" y="1096"/>
              <a:ext cx="10" cy="15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5" name="Rectangle 45"/>
            <xdr:cNvSpPr>
              <a:spLocks/>
            </xdr:cNvSpPr>
          </xdr:nvSpPr>
          <xdr:spPr>
            <a:xfrm>
              <a:off x="872" y="1096"/>
              <a:ext cx="10" cy="15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6" name="Rectangle 46"/>
            <xdr:cNvSpPr>
              <a:spLocks/>
            </xdr:cNvSpPr>
          </xdr:nvSpPr>
          <xdr:spPr>
            <a:xfrm>
              <a:off x="900" y="1095"/>
              <a:ext cx="10" cy="15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7" name="Rectangle 47"/>
            <xdr:cNvSpPr>
              <a:spLocks/>
            </xdr:cNvSpPr>
          </xdr:nvSpPr>
          <xdr:spPr>
            <a:xfrm>
              <a:off x="915" y="1095"/>
              <a:ext cx="10" cy="15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8" name="Rectangle 48"/>
            <xdr:cNvSpPr>
              <a:spLocks/>
            </xdr:cNvSpPr>
          </xdr:nvSpPr>
          <xdr:spPr>
            <a:xfrm>
              <a:off x="939" y="1092"/>
              <a:ext cx="10" cy="15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9" name="Rectangle 49"/>
            <xdr:cNvSpPr>
              <a:spLocks/>
            </xdr:cNvSpPr>
          </xdr:nvSpPr>
          <xdr:spPr>
            <a:xfrm>
              <a:off x="953" y="1092"/>
              <a:ext cx="10" cy="15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0" name="Rectangle 50"/>
            <xdr:cNvSpPr>
              <a:spLocks/>
            </xdr:cNvSpPr>
          </xdr:nvSpPr>
          <xdr:spPr>
            <a:xfrm>
              <a:off x="981" y="1091"/>
              <a:ext cx="10" cy="15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1" name="Rectangle 51"/>
            <xdr:cNvSpPr>
              <a:spLocks/>
            </xdr:cNvSpPr>
          </xdr:nvSpPr>
          <xdr:spPr>
            <a:xfrm>
              <a:off x="996" y="1091"/>
              <a:ext cx="10" cy="15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114300</xdr:rowOff>
    </xdr:from>
    <xdr:to>
      <xdr:col>9</xdr:col>
      <xdr:colOff>571500</xdr:colOff>
      <xdr:row>32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57150" y="466725"/>
          <a:ext cx="6000750" cy="5334000"/>
          <a:chOff x="719" y="854"/>
          <a:chExt cx="630" cy="504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139" y="854"/>
            <a:ext cx="210" cy="50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139" y="888"/>
            <a:ext cx="168" cy="435"/>
          </a:xfrm>
          <a:prstGeom prst="rect">
            <a:avLst/>
          </a:pr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4" name="Group 4"/>
          <xdr:cNvGrpSpPr>
            <a:grpSpLocks/>
          </xdr:cNvGrpSpPr>
        </xdr:nvGrpSpPr>
        <xdr:grpSpPr>
          <a:xfrm>
            <a:off x="719" y="970"/>
            <a:ext cx="203" cy="242"/>
            <a:chOff x="848" y="1065"/>
            <a:chExt cx="203" cy="242"/>
          </a:xfrm>
          <a:solidFill>
            <a:srgbClr val="FFFFFF"/>
          </a:solidFill>
        </xdr:grpSpPr>
        <xdr:sp>
          <xdr:nvSpPr>
            <xdr:cNvPr id="5" name="Rectangle 5"/>
            <xdr:cNvSpPr>
              <a:spLocks/>
            </xdr:cNvSpPr>
          </xdr:nvSpPr>
          <xdr:spPr>
            <a:xfrm>
              <a:off x="848" y="1065"/>
              <a:ext cx="203" cy="24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" name="Rectangle 6"/>
            <xdr:cNvSpPr>
              <a:spLocks/>
            </xdr:cNvSpPr>
          </xdr:nvSpPr>
          <xdr:spPr>
            <a:xfrm>
              <a:off x="883" y="1067"/>
              <a:ext cx="168" cy="214"/>
            </a:xfrm>
            <a:prstGeom prst="rect">
              <a:avLst/>
            </a:prstGeom>
            <a:solidFill>
              <a:srgbClr val="FFCC00">
                <a:alpha val="52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7" name="Rectangle 7"/>
          <xdr:cNvSpPr>
            <a:spLocks/>
          </xdr:cNvSpPr>
        </xdr:nvSpPr>
        <xdr:spPr>
          <a:xfrm>
            <a:off x="1112" y="855"/>
            <a:ext cx="26" cy="50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1113" y="889"/>
            <a:ext cx="26" cy="435"/>
          </a:xfrm>
          <a:prstGeom prst="rect">
            <a:avLst/>
          </a:pr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9" name="Group 9"/>
          <xdr:cNvGrpSpPr>
            <a:grpSpLocks/>
          </xdr:cNvGrpSpPr>
        </xdr:nvGrpSpPr>
        <xdr:grpSpPr>
          <a:xfrm>
            <a:off x="927" y="1147"/>
            <a:ext cx="185" cy="210"/>
            <a:chOff x="136" y="1016"/>
            <a:chExt cx="185" cy="210"/>
          </a:xfrm>
          <a:solidFill>
            <a:srgbClr val="FFFFFF"/>
          </a:solidFill>
        </xdr:grpSpPr>
        <xdr:sp>
          <xdr:nvSpPr>
            <xdr:cNvPr id="10" name="Rectangle 10"/>
            <xdr:cNvSpPr>
              <a:spLocks/>
            </xdr:cNvSpPr>
          </xdr:nvSpPr>
          <xdr:spPr>
            <a:xfrm>
              <a:off x="136" y="1016"/>
              <a:ext cx="185" cy="21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" name="Rectangle 11"/>
            <xdr:cNvSpPr>
              <a:spLocks/>
            </xdr:cNvSpPr>
          </xdr:nvSpPr>
          <xdr:spPr>
            <a:xfrm>
              <a:off x="176" y="1016"/>
              <a:ext cx="142" cy="175"/>
            </a:xfrm>
            <a:prstGeom prst="rect">
              <a:avLst/>
            </a:prstGeom>
            <a:solidFill>
              <a:srgbClr val="FFCC00">
                <a:alpha val="65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</xdr:row>
      <xdr:rowOff>38100</xdr:rowOff>
    </xdr:from>
    <xdr:to>
      <xdr:col>6</xdr:col>
      <xdr:colOff>333375</xdr:colOff>
      <xdr:row>29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1533525" y="228600"/>
          <a:ext cx="2457450" cy="5105400"/>
          <a:chOff x="97" y="140"/>
          <a:chExt cx="258" cy="483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244" y="547"/>
            <a:ext cx="30" cy="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259" y="457"/>
            <a:ext cx="30" cy="76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 rot="5400000">
            <a:off x="166" y="335"/>
            <a:ext cx="30" cy="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 rot="5400000">
            <a:off x="302" y="337"/>
            <a:ext cx="30" cy="76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99" y="249"/>
            <a:ext cx="30" cy="76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301" y="553"/>
            <a:ext cx="49" cy="5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247" y="140"/>
            <a:ext cx="94" cy="5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97" y="156"/>
            <a:ext cx="38" cy="5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409575</xdr:colOff>
      <xdr:row>35</xdr:row>
      <xdr:rowOff>171450</xdr:rowOff>
    </xdr:from>
    <xdr:to>
      <xdr:col>7</xdr:col>
      <xdr:colOff>104775</xdr:colOff>
      <xdr:row>64</xdr:row>
      <xdr:rowOff>57150</xdr:rowOff>
    </xdr:to>
    <xdr:grpSp>
      <xdr:nvGrpSpPr>
        <xdr:cNvPr id="10" name="Group 10"/>
        <xdr:cNvGrpSpPr>
          <a:grpSpLocks/>
        </xdr:cNvGrpSpPr>
      </xdr:nvGrpSpPr>
      <xdr:grpSpPr>
        <a:xfrm>
          <a:off x="1019175" y="6524625"/>
          <a:ext cx="3352800" cy="5410200"/>
          <a:chOff x="43" y="729"/>
          <a:chExt cx="352" cy="483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16200000">
            <a:off x="43" y="931"/>
            <a:ext cx="57" cy="71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275" y="729"/>
            <a:ext cx="94" cy="5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 rot="10800000">
            <a:off x="283" y="1155"/>
            <a:ext cx="71" cy="5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301" y="868"/>
            <a:ext cx="30" cy="76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 rot="5400000">
            <a:off x="342" y="961"/>
            <a:ext cx="30" cy="76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284" y="1011"/>
            <a:ext cx="30" cy="76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 rot="5400000">
            <a:off x="176" y="962"/>
            <a:ext cx="30" cy="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2</xdr:row>
      <xdr:rowOff>104775</xdr:rowOff>
    </xdr:from>
    <xdr:to>
      <xdr:col>6</xdr:col>
      <xdr:colOff>219075</xdr:colOff>
      <xdr:row>26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1714500" y="485775"/>
          <a:ext cx="2162175" cy="438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28</xdr:row>
      <xdr:rowOff>123825</xdr:rowOff>
    </xdr:from>
    <xdr:to>
      <xdr:col>6</xdr:col>
      <xdr:colOff>219075</xdr:colOff>
      <xdr:row>52</xdr:row>
      <xdr:rowOff>142875</xdr:rowOff>
    </xdr:to>
    <xdr:grpSp>
      <xdr:nvGrpSpPr>
        <xdr:cNvPr id="2" name="Group 2"/>
        <xdr:cNvGrpSpPr>
          <a:grpSpLocks/>
        </xdr:cNvGrpSpPr>
      </xdr:nvGrpSpPr>
      <xdr:grpSpPr>
        <a:xfrm>
          <a:off x="628650" y="5229225"/>
          <a:ext cx="3248025" cy="4591050"/>
          <a:chOff x="66" y="45"/>
          <a:chExt cx="341" cy="410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80" y="45"/>
            <a:ext cx="227" cy="4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66" y="100"/>
            <a:ext cx="106" cy="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514350</xdr:colOff>
      <xdr:row>53</xdr:row>
      <xdr:rowOff>57150</xdr:rowOff>
    </xdr:from>
    <xdr:to>
      <xdr:col>4</xdr:col>
      <xdr:colOff>600075</xdr:colOff>
      <xdr:row>58</xdr:row>
      <xdr:rowOff>114300</xdr:rowOff>
    </xdr:to>
    <xdr:grpSp>
      <xdr:nvGrpSpPr>
        <xdr:cNvPr id="5" name="Group 5"/>
        <xdr:cNvGrpSpPr>
          <a:grpSpLocks/>
        </xdr:cNvGrpSpPr>
      </xdr:nvGrpSpPr>
      <xdr:grpSpPr>
        <a:xfrm>
          <a:off x="1733550" y="9925050"/>
          <a:ext cx="1304925" cy="1009650"/>
          <a:chOff x="300" y="499"/>
          <a:chExt cx="137" cy="90"/>
        </a:xfrm>
        <a:solidFill>
          <a:srgbClr val="FFFFFF"/>
        </a:solidFill>
      </xdr:grpSpPr>
      <xdr:sp>
        <xdr:nvSpPr>
          <xdr:cNvPr id="6" name="Rectangle 6"/>
          <xdr:cNvSpPr>
            <a:spLocks/>
          </xdr:cNvSpPr>
        </xdr:nvSpPr>
        <xdr:spPr>
          <a:xfrm>
            <a:off x="300" y="499"/>
            <a:ext cx="137" cy="40"/>
          </a:xfrm>
          <a:prstGeom prst="rect">
            <a:avLst/>
          </a:prstGeom>
          <a:solidFill>
            <a:srgbClr val="CC99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340" y="540"/>
            <a:ext cx="60" cy="49"/>
          </a:xfrm>
          <a:prstGeom prst="rect">
            <a:avLst/>
          </a:prstGeom>
          <a:solidFill>
            <a:srgbClr val="CC99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19050</xdr:colOff>
      <xdr:row>6</xdr:row>
      <xdr:rowOff>0</xdr:rowOff>
    </xdr:from>
    <xdr:to>
      <xdr:col>2</xdr:col>
      <xdr:colOff>419100</xdr:colOff>
      <xdr:row>11</xdr:row>
      <xdr:rowOff>9525</xdr:rowOff>
    </xdr:to>
    <xdr:sp>
      <xdr:nvSpPr>
        <xdr:cNvPr id="8" name="Rectangle 8"/>
        <xdr:cNvSpPr>
          <a:spLocks/>
        </xdr:cNvSpPr>
      </xdr:nvSpPr>
      <xdr:spPr>
        <a:xfrm>
          <a:off x="628650" y="1057275"/>
          <a:ext cx="1009650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wnloads\&#1073;&#1080;&#1079;&#1085;&#1077;&#1089;-&#1087;&#1083;&#1072;&#1085;_&#1094;&#1077;&#1085;&#1099;_&#1087;&#1088;&#1086;&#1076;&#1091;&#1082;&#1094;&#108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рмировка пакет"/>
      <sheetName val="материалы пакет"/>
      <sheetName val="эталон 1,5 эт"/>
      <sheetName val="фонды,накладные расх"/>
      <sheetName val="цены конструкций"/>
    </sheetNames>
    <sheetDataSet>
      <sheetData sheetId="4">
        <row r="6">
          <cell r="G6">
            <v>2613.7065227239073</v>
          </cell>
        </row>
        <row r="18">
          <cell r="G18">
            <v>5948.209054460684</v>
          </cell>
        </row>
        <row r="39">
          <cell r="G39">
            <v>2358.8831125248976</v>
          </cell>
        </row>
        <row r="41">
          <cell r="G41">
            <v>4181.930436358252</v>
          </cell>
        </row>
        <row r="43">
          <cell r="G43">
            <v>5122.864784538859</v>
          </cell>
        </row>
        <row r="52">
          <cell r="G52">
            <v>3404.7324167013917</v>
          </cell>
        </row>
        <row r="57">
          <cell r="G57">
            <v>3773.1846869993997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64">
      <selection activeCell="J18" sqref="J18"/>
    </sheetView>
  </sheetViews>
  <sheetFormatPr defaultColWidth="9.140625" defaultRowHeight="15"/>
  <cols>
    <col min="1" max="16384" width="9.140625" style="16" customWidth="1"/>
  </cols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7">
      <selection activeCell="A16" sqref="A16:D16"/>
    </sheetView>
  </sheetViews>
  <sheetFormatPr defaultColWidth="9.140625" defaultRowHeight="15"/>
  <cols>
    <col min="1" max="2" width="9.140625" style="16" customWidth="1"/>
    <col min="3" max="3" width="10.140625" style="16" bestFit="1" customWidth="1"/>
    <col min="4" max="4" width="9.140625" style="16" customWidth="1"/>
    <col min="5" max="5" width="11.28125" style="16" customWidth="1"/>
    <col min="6" max="16384" width="9.140625" style="16" customWidth="1"/>
  </cols>
  <sheetData>
    <row r="1" ht="18.75">
      <c r="A1" s="17" t="s">
        <v>127</v>
      </c>
    </row>
    <row r="2" ht="18.75">
      <c r="A2" s="17" t="s">
        <v>128</v>
      </c>
    </row>
    <row r="3" ht="18.75">
      <c r="A3" s="17"/>
    </row>
    <row r="4" spans="1:5" s="20" customFormat="1" ht="15.75">
      <c r="A4" s="18" t="s">
        <v>129</v>
      </c>
      <c r="B4" s="19"/>
      <c r="D4" s="19"/>
      <c r="E4" s="21"/>
    </row>
    <row r="5" s="20" customFormat="1" ht="15.75">
      <c r="A5" s="18"/>
    </row>
    <row r="6" s="20" customFormat="1" ht="15.75">
      <c r="A6" s="18"/>
    </row>
    <row r="7" spans="1:8" ht="30" customHeight="1">
      <c r="A7" s="89" t="s">
        <v>130</v>
      </c>
      <c r="B7" s="90"/>
      <c r="C7" s="90"/>
      <c r="D7" s="90"/>
      <c r="E7" s="90"/>
      <c r="F7" s="90"/>
      <c r="G7" s="90"/>
      <c r="H7" s="91"/>
    </row>
    <row r="9" spans="1:6" ht="12.75">
      <c r="A9" s="16" t="s">
        <v>129</v>
      </c>
      <c r="B9" s="16" t="s">
        <v>131</v>
      </c>
      <c r="C9" s="16" t="s">
        <v>132</v>
      </c>
      <c r="F9" s="22"/>
    </row>
    <row r="10" ht="13.5" thickBot="1"/>
    <row r="11" spans="1:6" ht="13.5" thickBot="1">
      <c r="A11" s="92" t="s">
        <v>9</v>
      </c>
      <c r="B11" s="93"/>
      <c r="C11" s="93"/>
      <c r="D11" s="93"/>
      <c r="E11" s="23" t="s">
        <v>114</v>
      </c>
      <c r="F11" s="24" t="s">
        <v>133</v>
      </c>
    </row>
    <row r="12" spans="1:6" ht="12.75">
      <c r="A12" s="99" t="s">
        <v>182</v>
      </c>
      <c r="B12" s="100"/>
      <c r="C12" s="100"/>
      <c r="D12" s="101"/>
      <c r="E12" s="25">
        <f>Фундамент!P10</f>
        <v>87.61</v>
      </c>
      <c r="F12" s="26" t="s">
        <v>134</v>
      </c>
    </row>
    <row r="13" spans="1:6" ht="12.75">
      <c r="A13" s="82" t="s">
        <v>169</v>
      </c>
      <c r="B13" s="83"/>
      <c r="C13" s="83"/>
      <c r="D13" s="84"/>
      <c r="E13" s="25">
        <f>Фундамент!M4</f>
        <v>13.938400000000001</v>
      </c>
      <c r="F13" s="26" t="s">
        <v>171</v>
      </c>
    </row>
    <row r="14" spans="1:6" ht="12.75">
      <c r="A14" s="88" t="s">
        <v>135</v>
      </c>
      <c r="B14" s="88"/>
      <c r="C14" s="88"/>
      <c r="D14" s="88"/>
      <c r="E14" s="27">
        <f>Стены!Q5+Стены!Q6+Стены!Q21+Стены!L36-ОкнаДвери!N8-ОкнаДвери!P13</f>
        <v>194.564</v>
      </c>
      <c r="F14" s="28" t="s">
        <v>136</v>
      </c>
    </row>
    <row r="15" spans="1:6" ht="12.75">
      <c r="A15" s="87" t="s">
        <v>158</v>
      </c>
      <c r="B15" s="88"/>
      <c r="C15" s="88"/>
      <c r="D15" s="88"/>
      <c r="E15" s="27">
        <v>0</v>
      </c>
      <c r="F15" s="28" t="s">
        <v>136</v>
      </c>
    </row>
    <row r="16" spans="1:6" ht="12.75">
      <c r="A16" s="88" t="s">
        <v>121</v>
      </c>
      <c r="B16" s="88"/>
      <c r="C16" s="88"/>
      <c r="D16" s="88"/>
      <c r="E16" s="27">
        <f>Стены!Q7+Стены!Q8+-Стены!K13-Стены!K14+Стены!Q23+Стены!Q24-ОкнаДвери!P14</f>
        <v>108.01399999999998</v>
      </c>
      <c r="F16" s="28" t="s">
        <v>136</v>
      </c>
    </row>
    <row r="17" spans="1:6" ht="12.75">
      <c r="A17" s="88" t="s">
        <v>137</v>
      </c>
      <c r="B17" s="88"/>
      <c r="C17" s="88"/>
      <c r="D17" s="88"/>
      <c r="E17" s="27">
        <f>плoщади!K10+плoщади!K11</f>
        <v>72.56899999999999</v>
      </c>
      <c r="F17" s="28" t="s">
        <v>136</v>
      </c>
    </row>
    <row r="18" spans="1:6" ht="12.75">
      <c r="A18" s="88" t="s">
        <v>138</v>
      </c>
      <c r="B18" s="88"/>
      <c r="C18" s="88"/>
      <c r="D18" s="88"/>
      <c r="E18" s="27">
        <f>плoщади!K14+плoщади!K15</f>
        <v>88.41699999999999</v>
      </c>
      <c r="F18" s="28" t="s">
        <v>136</v>
      </c>
    </row>
    <row r="19" spans="1:6" ht="12.75">
      <c r="A19" s="88" t="s">
        <v>139</v>
      </c>
      <c r="B19" s="88"/>
      <c r="C19" s="88"/>
      <c r="D19" s="88"/>
      <c r="E19" s="27">
        <f>плoщади!K5+плoщади!K6</f>
        <v>5.881</v>
      </c>
      <c r="F19" s="28" t="s">
        <v>136</v>
      </c>
    </row>
    <row r="20" spans="1:6" ht="12.75">
      <c r="A20" s="94" t="s">
        <v>140</v>
      </c>
      <c r="B20" s="95"/>
      <c r="C20" s="95"/>
      <c r="D20" s="96"/>
      <c r="E20" s="27">
        <v>1.4</v>
      </c>
      <c r="F20" s="29" t="s">
        <v>141</v>
      </c>
    </row>
    <row r="21" spans="1:6" ht="12.75">
      <c r="A21" s="88" t="s">
        <v>142</v>
      </c>
      <c r="B21" s="88"/>
      <c r="C21" s="88"/>
      <c r="D21" s="88"/>
      <c r="E21" s="27">
        <f>Стены!F87</f>
        <v>0.273</v>
      </c>
      <c r="F21" s="28" t="s">
        <v>143</v>
      </c>
    </row>
    <row r="22" spans="1:6" ht="12.75">
      <c r="A22" s="88" t="s">
        <v>144</v>
      </c>
      <c r="B22" s="88"/>
      <c r="C22" s="88"/>
      <c r="D22" s="88"/>
      <c r="E22" s="27">
        <f>Стены!D85</f>
        <v>47.349999999999994</v>
      </c>
      <c r="F22" s="28" t="s">
        <v>136</v>
      </c>
    </row>
    <row r="23" spans="1:6" ht="12.75">
      <c r="A23" s="88" t="s">
        <v>124</v>
      </c>
      <c r="B23" s="88"/>
      <c r="C23" s="88"/>
      <c r="D23" s="88"/>
      <c r="E23" s="27">
        <f>ОкнаДвери!N8</f>
        <v>13.649999999999999</v>
      </c>
      <c r="F23" s="28" t="s">
        <v>136</v>
      </c>
    </row>
    <row r="24" spans="1:6" ht="12.75">
      <c r="A24" s="88" t="s">
        <v>125</v>
      </c>
      <c r="B24" s="88"/>
      <c r="C24" s="88"/>
      <c r="D24" s="88"/>
      <c r="E24" s="27">
        <f>ОкнаДвери!O15</f>
        <v>9</v>
      </c>
      <c r="F24" s="28" t="s">
        <v>141</v>
      </c>
    </row>
    <row r="25" spans="1:6" ht="12.75">
      <c r="A25" s="94" t="s">
        <v>145</v>
      </c>
      <c r="B25" s="97"/>
      <c r="C25" s="97"/>
      <c r="D25" s="98"/>
      <c r="E25" s="27">
        <f>Кровля!N8</f>
        <v>42.91169999999998</v>
      </c>
      <c r="F25" s="30" t="s">
        <v>136</v>
      </c>
    </row>
    <row r="26" spans="1:6" ht="12.75">
      <c r="A26" s="87" t="s">
        <v>146</v>
      </c>
      <c r="B26" s="88"/>
      <c r="C26" s="88"/>
      <c r="D26" s="88"/>
      <c r="E26" s="27">
        <f>Кровля!N15</f>
        <v>101.7763</v>
      </c>
      <c r="F26" s="30" t="s">
        <v>136</v>
      </c>
    </row>
    <row r="27" spans="1:6" ht="12.75">
      <c r="A27" s="31"/>
      <c r="B27" s="31"/>
      <c r="C27" s="31"/>
      <c r="D27" s="31"/>
      <c r="E27" s="32"/>
      <c r="F27" s="33"/>
    </row>
    <row r="29" spans="1:6" s="20" customFormat="1" ht="12.75">
      <c r="A29" s="20" t="s">
        <v>123</v>
      </c>
      <c r="E29" s="20">
        <f>'смета '!P273</f>
        <v>1637212.6321108118</v>
      </c>
      <c r="F29" s="20" t="s">
        <v>147</v>
      </c>
    </row>
    <row r="31" spans="1:6" s="22" customFormat="1" ht="11.25">
      <c r="A31" s="22" t="s">
        <v>148</v>
      </c>
      <c r="E31" s="22">
        <f>E29/(E18+E18+E19*0.3)</f>
        <v>9167.011287961936</v>
      </c>
      <c r="F31" s="22" t="s">
        <v>149</v>
      </c>
    </row>
    <row r="32" spans="1:5" s="22" customFormat="1" ht="11.25">
      <c r="A32" s="22" t="s">
        <v>172</v>
      </c>
      <c r="E32" s="22">
        <f>E18+E18+E19*0.3</f>
        <v>178.59829999999997</v>
      </c>
    </row>
  </sheetData>
  <mergeCells count="16">
    <mergeCell ref="A23:D23"/>
    <mergeCell ref="A12:D12"/>
    <mergeCell ref="A19:D19"/>
    <mergeCell ref="A21:D21"/>
    <mergeCell ref="A22:D22"/>
    <mergeCell ref="A15:D15"/>
    <mergeCell ref="A26:D26"/>
    <mergeCell ref="A7:H7"/>
    <mergeCell ref="A14:D14"/>
    <mergeCell ref="A11:D11"/>
    <mergeCell ref="A16:D16"/>
    <mergeCell ref="A17:D17"/>
    <mergeCell ref="A18:D18"/>
    <mergeCell ref="A20:D20"/>
    <mergeCell ref="A24:D24"/>
    <mergeCell ref="A25:D2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11"/>
  <sheetViews>
    <sheetView zoomScale="75" zoomScaleNormal="75" zoomScalePageLayoutView="0" workbookViewId="0" topLeftCell="A1">
      <pane xSplit="1" ySplit="1" topLeftCell="B141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A172" sqref="A172"/>
    </sheetView>
  </sheetViews>
  <sheetFormatPr defaultColWidth="9.140625" defaultRowHeight="15"/>
  <cols>
    <col min="1" max="1" width="40.421875" style="11" customWidth="1"/>
    <col min="2" max="2" width="27.7109375" style="2" customWidth="1"/>
    <col min="3" max="3" width="8.00390625" style="2" customWidth="1"/>
    <col min="4" max="4" width="10.7109375" style="2" customWidth="1"/>
    <col min="5" max="5" width="12.00390625" style="2" customWidth="1"/>
    <col min="6" max="6" width="13.8515625" style="2" customWidth="1"/>
    <col min="7" max="7" width="29.00390625" style="2" customWidth="1"/>
    <col min="8" max="8" width="8.8515625" style="2" customWidth="1"/>
    <col min="9" max="9" width="8.00390625" style="2" customWidth="1"/>
    <col min="10" max="10" width="11.00390625" style="2" customWidth="1"/>
    <col min="11" max="11" width="9.7109375" style="2" customWidth="1"/>
    <col min="12" max="12" width="12.140625" style="2" customWidth="1"/>
    <col min="13" max="15" width="10.140625" style="12" customWidth="1"/>
    <col min="16" max="18" width="15.7109375" style="35" customWidth="1"/>
    <col min="19" max="22" width="9.140625" style="1" customWidth="1"/>
    <col min="23" max="16384" width="9.140625" style="2" customWidth="1"/>
  </cols>
  <sheetData>
    <row r="1" spans="1:40" s="9" customFormat="1" ht="28.5">
      <c r="A1" s="38" t="s">
        <v>9</v>
      </c>
      <c r="B1" s="38" t="s">
        <v>10</v>
      </c>
      <c r="C1" s="38" t="s">
        <v>79</v>
      </c>
      <c r="D1" s="38" t="s">
        <v>8</v>
      </c>
      <c r="E1" s="39" t="s">
        <v>6</v>
      </c>
      <c r="F1" s="38" t="s">
        <v>12</v>
      </c>
      <c r="G1" s="38" t="s">
        <v>13</v>
      </c>
      <c r="H1" s="38" t="s">
        <v>11</v>
      </c>
      <c r="I1" s="38" t="s">
        <v>8</v>
      </c>
      <c r="J1" s="39" t="s">
        <v>14</v>
      </c>
      <c r="K1" s="38" t="s">
        <v>15</v>
      </c>
      <c r="L1" s="38" t="s">
        <v>7</v>
      </c>
      <c r="M1" s="15" t="s">
        <v>114</v>
      </c>
      <c r="N1" s="15"/>
      <c r="O1" s="15"/>
      <c r="P1" s="34" t="s">
        <v>115</v>
      </c>
      <c r="Q1" s="40" t="s">
        <v>155</v>
      </c>
      <c r="R1" s="40" t="s">
        <v>154</v>
      </c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</row>
    <row r="2" spans="1:40" ht="15.75">
      <c r="A2" s="41" t="s">
        <v>176</v>
      </c>
      <c r="B2" s="42"/>
      <c r="C2" s="43" t="s">
        <v>17</v>
      </c>
      <c r="D2" s="42"/>
      <c r="E2" s="44"/>
      <c r="F2" s="45"/>
      <c r="G2" s="42"/>
      <c r="H2" s="42"/>
      <c r="I2" s="42"/>
      <c r="J2" s="46"/>
      <c r="K2" s="42"/>
      <c r="L2" s="42"/>
      <c r="M2" s="47"/>
      <c r="N2" s="48">
        <f aca="true" t="shared" si="0" ref="N2:N11">F2*$M$273</f>
        <v>0</v>
      </c>
      <c r="O2" s="48">
        <f aca="true" t="shared" si="1" ref="O2:O11">K2*$M$273</f>
        <v>0</v>
      </c>
      <c r="P2" s="49"/>
      <c r="Q2" s="49"/>
      <c r="R2" s="49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">
      <c r="A3" s="63" t="s">
        <v>177</v>
      </c>
      <c r="B3" s="51"/>
      <c r="C3" s="51"/>
      <c r="D3" s="51"/>
      <c r="E3" s="44"/>
      <c r="F3" s="52"/>
      <c r="G3" s="51"/>
      <c r="H3" s="51"/>
      <c r="I3" s="51"/>
      <c r="J3" s="46"/>
      <c r="K3" s="51"/>
      <c r="L3" s="51"/>
      <c r="M3" s="47"/>
      <c r="N3" s="48">
        <f t="shared" si="0"/>
        <v>0</v>
      </c>
      <c r="O3" s="48">
        <f t="shared" si="1"/>
        <v>0</v>
      </c>
      <c r="P3" s="49"/>
      <c r="Q3" s="49"/>
      <c r="R3" s="49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5">
      <c r="A4" s="50"/>
      <c r="B4" s="51"/>
      <c r="C4" s="51"/>
      <c r="D4" s="51"/>
      <c r="E4" s="44"/>
      <c r="F4" s="52"/>
      <c r="G4" s="51"/>
      <c r="H4" s="51"/>
      <c r="I4" s="51"/>
      <c r="J4" s="46"/>
      <c r="K4" s="51"/>
      <c r="L4" s="51"/>
      <c r="M4" s="47"/>
      <c r="N4" s="48">
        <f t="shared" si="0"/>
        <v>0</v>
      </c>
      <c r="O4" s="48">
        <f t="shared" si="1"/>
        <v>0</v>
      </c>
      <c r="P4" s="49"/>
      <c r="Q4" s="49"/>
      <c r="R4" s="49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5">
      <c r="A5" s="50"/>
      <c r="B5" s="51" t="s">
        <v>19</v>
      </c>
      <c r="C5" s="51" t="s">
        <v>0</v>
      </c>
      <c r="D5" s="86">
        <f>2*0.2*0.2*0.5</f>
        <v>0.04000000000000001</v>
      </c>
      <c r="E5" s="44">
        <v>7100</v>
      </c>
      <c r="F5" s="52">
        <f>D5*E5</f>
        <v>284.00000000000006</v>
      </c>
      <c r="G5" s="51"/>
      <c r="H5" s="51"/>
      <c r="I5" s="51"/>
      <c r="J5" s="46"/>
      <c r="K5" s="51"/>
      <c r="L5" s="51"/>
      <c r="M5" s="47"/>
      <c r="N5" s="48">
        <f t="shared" si="0"/>
        <v>408.5112800000001</v>
      </c>
      <c r="O5" s="48">
        <f t="shared" si="1"/>
        <v>0</v>
      </c>
      <c r="P5" s="49"/>
      <c r="Q5" s="49"/>
      <c r="R5" s="49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5">
      <c r="A6" s="50"/>
      <c r="B6" s="51" t="s">
        <v>20</v>
      </c>
      <c r="C6" s="51" t="s">
        <v>1</v>
      </c>
      <c r="D6" s="86">
        <v>0</v>
      </c>
      <c r="E6" s="44">
        <v>175</v>
      </c>
      <c r="F6" s="52">
        <f>D6*E6</f>
        <v>0</v>
      </c>
      <c r="G6" s="51"/>
      <c r="H6" s="51"/>
      <c r="I6" s="51"/>
      <c r="J6" s="46"/>
      <c r="K6" s="51"/>
      <c r="L6" s="51"/>
      <c r="M6" s="47"/>
      <c r="N6" s="48">
        <f t="shared" si="0"/>
        <v>0</v>
      </c>
      <c r="O6" s="48">
        <f t="shared" si="1"/>
        <v>0</v>
      </c>
      <c r="P6" s="49"/>
      <c r="Q6" s="49"/>
      <c r="R6" s="49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5">
      <c r="A7" s="50"/>
      <c r="B7" s="51" t="s">
        <v>21</v>
      </c>
      <c r="C7" s="51" t="s">
        <v>22</v>
      </c>
      <c r="D7" s="86">
        <v>0</v>
      </c>
      <c r="E7" s="44">
        <v>17</v>
      </c>
      <c r="F7" s="52">
        <f>D7*E7</f>
        <v>0</v>
      </c>
      <c r="G7" s="51"/>
      <c r="H7" s="51"/>
      <c r="I7" s="51"/>
      <c r="J7" s="46"/>
      <c r="K7" s="51"/>
      <c r="L7" s="51"/>
      <c r="M7" s="47"/>
      <c r="N7" s="48">
        <f t="shared" si="0"/>
        <v>0</v>
      </c>
      <c r="O7" s="48">
        <f t="shared" si="1"/>
        <v>0</v>
      </c>
      <c r="P7" s="49"/>
      <c r="Q7" s="49"/>
      <c r="R7" s="49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5">
      <c r="A8" s="50"/>
      <c r="B8" s="51" t="s">
        <v>23</v>
      </c>
      <c r="C8" s="51" t="s">
        <v>2</v>
      </c>
      <c r="D8" s="86">
        <v>0</v>
      </c>
      <c r="E8" s="44">
        <v>1</v>
      </c>
      <c r="F8" s="52">
        <f>D8*E8</f>
        <v>0</v>
      </c>
      <c r="G8" s="51"/>
      <c r="H8" s="51"/>
      <c r="I8" s="51"/>
      <c r="J8" s="46"/>
      <c r="K8" s="51"/>
      <c r="L8" s="51"/>
      <c r="M8" s="47"/>
      <c r="N8" s="48">
        <f t="shared" si="0"/>
        <v>0</v>
      </c>
      <c r="O8" s="48">
        <f t="shared" si="1"/>
        <v>0</v>
      </c>
      <c r="P8" s="49"/>
      <c r="Q8" s="49"/>
      <c r="R8" s="49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5">
      <c r="A9" s="50"/>
      <c r="B9" s="51" t="s">
        <v>24</v>
      </c>
      <c r="C9" s="51" t="s">
        <v>1</v>
      </c>
      <c r="D9" s="86">
        <f>0.3</f>
        <v>0.3</v>
      </c>
      <c r="E9" s="44">
        <v>70</v>
      </c>
      <c r="F9" s="52">
        <f>D9*E9</f>
        <v>21</v>
      </c>
      <c r="G9" s="51" t="s">
        <v>25</v>
      </c>
      <c r="H9" s="51" t="s">
        <v>0</v>
      </c>
      <c r="I9" s="51">
        <f>D5</f>
        <v>0.04000000000000001</v>
      </c>
      <c r="J9" s="46">
        <v>3500</v>
      </c>
      <c r="K9" s="51">
        <f>I9*J9</f>
        <v>140.00000000000003</v>
      </c>
      <c r="L9" s="51"/>
      <c r="M9" s="47"/>
      <c r="N9" s="48">
        <f t="shared" si="0"/>
        <v>30.20682</v>
      </c>
      <c r="O9" s="48">
        <f t="shared" si="1"/>
        <v>201.37880000000004</v>
      </c>
      <c r="P9" s="49"/>
      <c r="Q9" s="49"/>
      <c r="R9" s="49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s="3" customFormat="1" ht="12.75">
      <c r="A10" s="53" t="s">
        <v>7</v>
      </c>
      <c r="B10" s="54"/>
      <c r="C10" s="55" t="s">
        <v>17</v>
      </c>
      <c r="D10" s="54"/>
      <c r="E10" s="56"/>
      <c r="F10" s="57">
        <f>SUM(F5:F9)</f>
        <v>305.00000000000006</v>
      </c>
      <c r="G10" s="54"/>
      <c r="H10" s="54"/>
      <c r="I10" s="54"/>
      <c r="J10" s="54"/>
      <c r="K10" s="55">
        <f>SUM(K6:K9)</f>
        <v>140.00000000000003</v>
      </c>
      <c r="L10" s="55">
        <f>F10+K10</f>
        <v>445.0000000000001</v>
      </c>
      <c r="M10" s="42">
        <f>расчет!E12</f>
        <v>87.61</v>
      </c>
      <c r="N10" s="48">
        <f t="shared" si="0"/>
        <v>438.7181000000001</v>
      </c>
      <c r="O10" s="48">
        <f t="shared" si="1"/>
        <v>201.37880000000004</v>
      </c>
      <c r="P10" s="58">
        <f>L10*M10</f>
        <v>38986.45000000001</v>
      </c>
      <c r="Q10" s="58">
        <f>R10/M10</f>
        <v>640.0969000000002</v>
      </c>
      <c r="R10" s="58">
        <f>P10*$M$273</f>
        <v>56078.88940900002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s="4" customFormat="1" ht="12.75">
      <c r="A11" s="59"/>
      <c r="B11" s="60"/>
      <c r="C11" s="61"/>
      <c r="D11" s="61"/>
      <c r="E11" s="62"/>
      <c r="F11" s="62"/>
      <c r="G11" s="60"/>
      <c r="H11" s="61"/>
      <c r="I11" s="61"/>
      <c r="J11" s="61"/>
      <c r="K11" s="61"/>
      <c r="L11" s="61"/>
      <c r="M11" s="42"/>
      <c r="N11" s="48">
        <f t="shared" si="0"/>
        <v>0</v>
      </c>
      <c r="O11" s="48">
        <f t="shared" si="1"/>
        <v>0</v>
      </c>
      <c r="P11" s="58">
        <f>L11*M11</f>
        <v>0</v>
      </c>
      <c r="Q11" s="58" t="e">
        <f aca="true" t="shared" si="2" ref="Q11:Q84">R11/M11</f>
        <v>#DIV/0!</v>
      </c>
      <c r="R11" s="58">
        <f aca="true" t="shared" si="3" ref="R11:R84">P11*$M$273</f>
        <v>0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31.5" hidden="1">
      <c r="A12" s="41" t="s">
        <v>16</v>
      </c>
      <c r="B12" s="42"/>
      <c r="C12" s="43" t="s">
        <v>17</v>
      </c>
      <c r="D12" s="42"/>
      <c r="E12" s="44"/>
      <c r="F12" s="45"/>
      <c r="G12" s="42"/>
      <c r="H12" s="42"/>
      <c r="I12" s="42"/>
      <c r="J12" s="46"/>
      <c r="K12" s="42"/>
      <c r="L12" s="42"/>
      <c r="M12" s="47"/>
      <c r="N12" s="48">
        <f aca="true" t="shared" si="4" ref="N12:N21">F12*$M$273</f>
        <v>0</v>
      </c>
      <c r="O12" s="48">
        <f aca="true" t="shared" si="5" ref="O12:O21">K12*$M$273</f>
        <v>0</v>
      </c>
      <c r="P12" s="49"/>
      <c r="Q12" s="58" t="e">
        <f t="shared" si="2"/>
        <v>#DIV/0!</v>
      </c>
      <c r="R12" s="58">
        <f t="shared" si="3"/>
        <v>0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26.25" hidden="1">
      <c r="A13" s="63" t="s">
        <v>152</v>
      </c>
      <c r="B13" s="51"/>
      <c r="C13" s="51"/>
      <c r="D13" s="51"/>
      <c r="E13" s="44"/>
      <c r="F13" s="52"/>
      <c r="G13" s="51"/>
      <c r="H13" s="51"/>
      <c r="I13" s="51"/>
      <c r="J13" s="46"/>
      <c r="K13" s="51"/>
      <c r="L13" s="51"/>
      <c r="M13" s="47"/>
      <c r="N13" s="48">
        <f t="shared" si="4"/>
        <v>0</v>
      </c>
      <c r="O13" s="48">
        <f t="shared" si="5"/>
        <v>0</v>
      </c>
      <c r="P13" s="49"/>
      <c r="Q13" s="58" t="e">
        <f t="shared" si="2"/>
        <v>#DIV/0!</v>
      </c>
      <c r="R13" s="58">
        <f t="shared" si="3"/>
        <v>0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5" hidden="1">
      <c r="A14" s="50"/>
      <c r="B14" s="51"/>
      <c r="C14" s="51"/>
      <c r="D14" s="51"/>
      <c r="E14" s="44"/>
      <c r="F14" s="52"/>
      <c r="G14" s="51"/>
      <c r="H14" s="51"/>
      <c r="I14" s="51"/>
      <c r="J14" s="46"/>
      <c r="K14" s="51"/>
      <c r="L14" s="51"/>
      <c r="M14" s="47"/>
      <c r="N14" s="48">
        <f t="shared" si="4"/>
        <v>0</v>
      </c>
      <c r="O14" s="48">
        <f t="shared" si="5"/>
        <v>0</v>
      </c>
      <c r="P14" s="49"/>
      <c r="Q14" s="58" t="e">
        <f t="shared" si="2"/>
        <v>#DIV/0!</v>
      </c>
      <c r="R14" s="58">
        <f t="shared" si="3"/>
        <v>0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5" hidden="1">
      <c r="A15" s="50"/>
      <c r="B15" s="51" t="s">
        <v>19</v>
      </c>
      <c r="C15" s="51" t="s">
        <v>0</v>
      </c>
      <c r="D15" s="51">
        <f>0.15*1</f>
        <v>0.15</v>
      </c>
      <c r="E15" s="44">
        <v>7100</v>
      </c>
      <c r="F15" s="52">
        <f>D15*E15</f>
        <v>1065</v>
      </c>
      <c r="G15" s="51"/>
      <c r="H15" s="51"/>
      <c r="I15" s="51"/>
      <c r="J15" s="46"/>
      <c r="K15" s="51"/>
      <c r="L15" s="51"/>
      <c r="M15" s="47"/>
      <c r="N15" s="48">
        <f t="shared" si="4"/>
        <v>1531.9173</v>
      </c>
      <c r="O15" s="48">
        <f t="shared" si="5"/>
        <v>0</v>
      </c>
      <c r="P15" s="49"/>
      <c r="Q15" s="58" t="e">
        <f t="shared" si="2"/>
        <v>#DIV/0!</v>
      </c>
      <c r="R15" s="58">
        <f t="shared" si="3"/>
        <v>0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5" hidden="1">
      <c r="A16" s="50"/>
      <c r="B16" s="51" t="s">
        <v>20</v>
      </c>
      <c r="C16" s="51" t="s">
        <v>1</v>
      </c>
      <c r="D16" s="51">
        <f>1</f>
        <v>1</v>
      </c>
      <c r="E16" s="44">
        <v>175</v>
      </c>
      <c r="F16" s="52">
        <f>D16*E16</f>
        <v>175</v>
      </c>
      <c r="G16" s="51"/>
      <c r="H16" s="51"/>
      <c r="I16" s="51"/>
      <c r="J16" s="46"/>
      <c r="K16" s="51"/>
      <c r="L16" s="51"/>
      <c r="M16" s="47"/>
      <c r="N16" s="48">
        <f t="shared" si="4"/>
        <v>251.7235</v>
      </c>
      <c r="O16" s="48">
        <f t="shared" si="5"/>
        <v>0</v>
      </c>
      <c r="P16" s="49"/>
      <c r="Q16" s="58" t="e">
        <f t="shared" si="2"/>
        <v>#DIV/0!</v>
      </c>
      <c r="R16" s="58">
        <f t="shared" si="3"/>
        <v>0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5" hidden="1">
      <c r="A17" s="50"/>
      <c r="B17" s="51" t="s">
        <v>21</v>
      </c>
      <c r="C17" s="51" t="s">
        <v>22</v>
      </c>
      <c r="D17" s="51">
        <v>0</v>
      </c>
      <c r="E17" s="44">
        <v>17</v>
      </c>
      <c r="F17" s="52">
        <f>D17*E17</f>
        <v>0</v>
      </c>
      <c r="G17" s="51"/>
      <c r="H17" s="51"/>
      <c r="I17" s="51"/>
      <c r="J17" s="46"/>
      <c r="K17" s="51"/>
      <c r="L17" s="51"/>
      <c r="M17" s="47"/>
      <c r="N17" s="48">
        <f t="shared" si="4"/>
        <v>0</v>
      </c>
      <c r="O17" s="48">
        <f t="shared" si="5"/>
        <v>0</v>
      </c>
      <c r="P17" s="49"/>
      <c r="Q17" s="58" t="e">
        <f t="shared" si="2"/>
        <v>#DIV/0!</v>
      </c>
      <c r="R17" s="58">
        <f t="shared" si="3"/>
        <v>0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5" hidden="1">
      <c r="A18" s="50"/>
      <c r="B18" s="51" t="s">
        <v>23</v>
      </c>
      <c r="C18" s="51" t="s">
        <v>2</v>
      </c>
      <c r="D18" s="51">
        <v>0</v>
      </c>
      <c r="E18" s="44">
        <v>1</v>
      </c>
      <c r="F18" s="52">
        <f>D18*E18</f>
        <v>0</v>
      </c>
      <c r="G18" s="51"/>
      <c r="H18" s="51"/>
      <c r="I18" s="51"/>
      <c r="J18" s="46"/>
      <c r="K18" s="51"/>
      <c r="L18" s="51"/>
      <c r="M18" s="47"/>
      <c r="N18" s="48">
        <f t="shared" si="4"/>
        <v>0</v>
      </c>
      <c r="O18" s="48">
        <f t="shared" si="5"/>
        <v>0</v>
      </c>
      <c r="P18" s="49"/>
      <c r="Q18" s="58" t="e">
        <f t="shared" si="2"/>
        <v>#DIV/0!</v>
      </c>
      <c r="R18" s="58">
        <f t="shared" si="3"/>
        <v>0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5" hidden="1">
      <c r="A19" s="50"/>
      <c r="B19" s="51" t="s">
        <v>24</v>
      </c>
      <c r="C19" s="51" t="s">
        <v>1</v>
      </c>
      <c r="D19" s="51">
        <v>1.1</v>
      </c>
      <c r="E19" s="44">
        <v>100</v>
      </c>
      <c r="F19" s="52">
        <f>D19*E19</f>
        <v>110.00000000000001</v>
      </c>
      <c r="G19" s="51" t="s">
        <v>25</v>
      </c>
      <c r="H19" s="51" t="s">
        <v>0</v>
      </c>
      <c r="I19" s="51">
        <f>D15</f>
        <v>0.15</v>
      </c>
      <c r="J19" s="46">
        <v>3500</v>
      </c>
      <c r="K19" s="51">
        <f>I19*J19</f>
        <v>525</v>
      </c>
      <c r="L19" s="51"/>
      <c r="M19" s="47"/>
      <c r="N19" s="48">
        <f t="shared" si="4"/>
        <v>158.22620000000003</v>
      </c>
      <c r="O19" s="48">
        <f t="shared" si="5"/>
        <v>755.1705000000001</v>
      </c>
      <c r="P19" s="49"/>
      <c r="Q19" s="58" t="e">
        <f t="shared" si="2"/>
        <v>#DIV/0!</v>
      </c>
      <c r="R19" s="58">
        <f t="shared" si="3"/>
        <v>0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s="3" customFormat="1" ht="12.75" hidden="1">
      <c r="A20" s="53" t="s">
        <v>7</v>
      </c>
      <c r="B20" s="54"/>
      <c r="C20" s="55" t="s">
        <v>17</v>
      </c>
      <c r="D20" s="54"/>
      <c r="E20" s="56"/>
      <c r="F20" s="57">
        <f>SUM(F15:F19)</f>
        <v>1350</v>
      </c>
      <c r="G20" s="54"/>
      <c r="H20" s="54"/>
      <c r="I20" s="54"/>
      <c r="J20" s="54"/>
      <c r="K20" s="55">
        <f>SUM(K16:K19)</f>
        <v>525</v>
      </c>
      <c r="L20" s="55">
        <f>F20+K20</f>
        <v>1875</v>
      </c>
      <c r="M20" s="42"/>
      <c r="N20" s="48">
        <f t="shared" si="4"/>
        <v>1941.867</v>
      </c>
      <c r="O20" s="48">
        <f t="shared" si="5"/>
        <v>755.1705000000001</v>
      </c>
      <c r="P20" s="58">
        <f>L20*M20</f>
        <v>0</v>
      </c>
      <c r="Q20" s="58" t="e">
        <f t="shared" si="2"/>
        <v>#DIV/0!</v>
      </c>
      <c r="R20" s="58">
        <f t="shared" si="3"/>
        <v>0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s="4" customFormat="1" ht="12.75" hidden="1">
      <c r="A21" s="59"/>
      <c r="B21" s="60"/>
      <c r="C21" s="61"/>
      <c r="D21" s="61"/>
      <c r="E21" s="62"/>
      <c r="F21" s="62"/>
      <c r="G21" s="60"/>
      <c r="H21" s="61"/>
      <c r="I21" s="61"/>
      <c r="J21" s="61"/>
      <c r="K21" s="61"/>
      <c r="L21" s="61"/>
      <c r="M21" s="42"/>
      <c r="N21" s="48">
        <f t="shared" si="4"/>
        <v>0</v>
      </c>
      <c r="O21" s="48">
        <f t="shared" si="5"/>
        <v>0</v>
      </c>
      <c r="P21" s="58">
        <f>L21*M21</f>
        <v>0</v>
      </c>
      <c r="Q21" s="58" t="e">
        <f t="shared" si="2"/>
        <v>#DIV/0!</v>
      </c>
      <c r="R21" s="58">
        <f t="shared" si="3"/>
        <v>0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31.5">
      <c r="A22" s="41" t="s">
        <v>170</v>
      </c>
      <c r="B22" s="42"/>
      <c r="C22" s="43" t="s">
        <v>17</v>
      </c>
      <c r="D22" s="42"/>
      <c r="E22" s="44"/>
      <c r="F22" s="45"/>
      <c r="G22" s="42"/>
      <c r="H22" s="42"/>
      <c r="I22" s="42"/>
      <c r="J22" s="46"/>
      <c r="K22" s="42"/>
      <c r="L22" s="42"/>
      <c r="M22" s="47"/>
      <c r="N22" s="48">
        <f aca="true" t="shared" si="6" ref="N22:N31">F22*$M$273</f>
        <v>0</v>
      </c>
      <c r="O22" s="48">
        <f aca="true" t="shared" si="7" ref="O22:O31">K22*$M$273</f>
        <v>0</v>
      </c>
      <c r="P22" s="49"/>
      <c r="Q22" s="58" t="e">
        <f aca="true" t="shared" si="8" ref="Q22:Q31">R22/M22</f>
        <v>#DIV/0!</v>
      </c>
      <c r="R22" s="58">
        <f aca="true" t="shared" si="9" ref="R22:R31">P22*$M$273</f>
        <v>0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25.5">
      <c r="A23" s="63" t="s">
        <v>152</v>
      </c>
      <c r="B23" s="51"/>
      <c r="C23" s="51"/>
      <c r="D23" s="51"/>
      <c r="E23" s="44"/>
      <c r="F23" s="52"/>
      <c r="G23" s="51"/>
      <c r="H23" s="51"/>
      <c r="I23" s="51"/>
      <c r="J23" s="46"/>
      <c r="K23" s="51"/>
      <c r="L23" s="51"/>
      <c r="M23" s="47"/>
      <c r="N23" s="48">
        <f t="shared" si="6"/>
        <v>0</v>
      </c>
      <c r="O23" s="48">
        <f t="shared" si="7"/>
        <v>0</v>
      </c>
      <c r="P23" s="49"/>
      <c r="Q23" s="58" t="e">
        <f t="shared" si="8"/>
        <v>#DIV/0!</v>
      </c>
      <c r="R23" s="58">
        <f t="shared" si="9"/>
        <v>0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5">
      <c r="A24" s="50"/>
      <c r="B24" s="51"/>
      <c r="C24" s="51"/>
      <c r="D24" s="51"/>
      <c r="E24" s="44"/>
      <c r="F24" s="52"/>
      <c r="G24" s="51"/>
      <c r="H24" s="51"/>
      <c r="I24" s="51"/>
      <c r="J24" s="46"/>
      <c r="K24" s="51"/>
      <c r="L24" s="51"/>
      <c r="M24" s="47"/>
      <c r="N24" s="48">
        <f t="shared" si="6"/>
        <v>0</v>
      </c>
      <c r="O24" s="48">
        <f t="shared" si="7"/>
        <v>0</v>
      </c>
      <c r="P24" s="49"/>
      <c r="Q24" s="58" t="e">
        <f t="shared" si="8"/>
        <v>#DIV/0!</v>
      </c>
      <c r="R24" s="58">
        <f t="shared" si="9"/>
        <v>0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5">
      <c r="A25" s="50"/>
      <c r="B25" s="51" t="s">
        <v>19</v>
      </c>
      <c r="C25" s="51" t="s">
        <v>0</v>
      </c>
      <c r="D25" s="51">
        <f>0.3*0.4+3.2*0.2*0.2*0.5</f>
        <v>0.184</v>
      </c>
      <c r="E25" s="44">
        <v>7100</v>
      </c>
      <c r="F25" s="52">
        <f>D25*E25</f>
        <v>1306.4</v>
      </c>
      <c r="G25" s="51"/>
      <c r="H25" s="51"/>
      <c r="I25" s="51"/>
      <c r="J25" s="46"/>
      <c r="K25" s="51"/>
      <c r="L25" s="51"/>
      <c r="M25" s="47"/>
      <c r="N25" s="48">
        <f t="shared" si="6"/>
        <v>1879.151888</v>
      </c>
      <c r="O25" s="48">
        <f t="shared" si="7"/>
        <v>0</v>
      </c>
      <c r="P25" s="49"/>
      <c r="Q25" s="58" t="e">
        <f t="shared" si="8"/>
        <v>#DIV/0!</v>
      </c>
      <c r="R25" s="58">
        <f t="shared" si="9"/>
        <v>0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5">
      <c r="A26" s="50"/>
      <c r="B26" s="51" t="s">
        <v>20</v>
      </c>
      <c r="C26" s="51" t="s">
        <v>1</v>
      </c>
      <c r="D26" s="86">
        <v>0</v>
      </c>
      <c r="E26" s="44">
        <v>175</v>
      </c>
      <c r="F26" s="52">
        <f>D26*E26</f>
        <v>0</v>
      </c>
      <c r="G26" s="51"/>
      <c r="H26" s="51"/>
      <c r="I26" s="51"/>
      <c r="J26" s="46"/>
      <c r="K26" s="51"/>
      <c r="L26" s="51"/>
      <c r="M26" s="47"/>
      <c r="N26" s="48">
        <f t="shared" si="6"/>
        <v>0</v>
      </c>
      <c r="O26" s="48">
        <f t="shared" si="7"/>
        <v>0</v>
      </c>
      <c r="P26" s="49"/>
      <c r="Q26" s="58" t="e">
        <f t="shared" si="8"/>
        <v>#DIV/0!</v>
      </c>
      <c r="R26" s="58">
        <f t="shared" si="9"/>
        <v>0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5">
      <c r="A27" s="50"/>
      <c r="B27" s="51" t="s">
        <v>21</v>
      </c>
      <c r="C27" s="51" t="s">
        <v>22</v>
      </c>
      <c r="D27" s="86">
        <v>0</v>
      </c>
      <c r="E27" s="44">
        <v>17</v>
      </c>
      <c r="F27" s="52">
        <f>D27*E27</f>
        <v>0</v>
      </c>
      <c r="G27" s="51"/>
      <c r="H27" s="51"/>
      <c r="I27" s="51"/>
      <c r="J27" s="46"/>
      <c r="K27" s="51"/>
      <c r="L27" s="51"/>
      <c r="M27" s="47"/>
      <c r="N27" s="48">
        <f t="shared" si="6"/>
        <v>0</v>
      </c>
      <c r="O27" s="48">
        <f t="shared" si="7"/>
        <v>0</v>
      </c>
      <c r="P27" s="49"/>
      <c r="Q27" s="58" t="e">
        <f t="shared" si="8"/>
        <v>#DIV/0!</v>
      </c>
      <c r="R27" s="58">
        <f t="shared" si="9"/>
        <v>0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5">
      <c r="A28" s="50"/>
      <c r="B28" s="51" t="s">
        <v>23</v>
      </c>
      <c r="C28" s="51" t="s">
        <v>2</v>
      </c>
      <c r="D28" s="86">
        <v>0</v>
      </c>
      <c r="E28" s="44">
        <v>1</v>
      </c>
      <c r="F28" s="52">
        <f>D28*E28</f>
        <v>0</v>
      </c>
      <c r="G28" s="51"/>
      <c r="H28" s="51"/>
      <c r="I28" s="51"/>
      <c r="J28" s="46"/>
      <c r="K28" s="51"/>
      <c r="L28" s="51"/>
      <c r="M28" s="47"/>
      <c r="N28" s="48">
        <f t="shared" si="6"/>
        <v>0</v>
      </c>
      <c r="O28" s="48">
        <f t="shared" si="7"/>
        <v>0</v>
      </c>
      <c r="P28" s="49"/>
      <c r="Q28" s="58" t="e">
        <f t="shared" si="8"/>
        <v>#DIV/0!</v>
      </c>
      <c r="R28" s="58">
        <f t="shared" si="9"/>
        <v>0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5">
      <c r="A29" s="50"/>
      <c r="B29" s="51" t="s">
        <v>24</v>
      </c>
      <c r="C29" s="51" t="s">
        <v>1</v>
      </c>
      <c r="D29" s="51">
        <f>0.3</f>
        <v>0.3</v>
      </c>
      <c r="E29" s="44">
        <v>70</v>
      </c>
      <c r="F29" s="52">
        <f>D29*E29</f>
        <v>21</v>
      </c>
      <c r="G29" s="51" t="s">
        <v>25</v>
      </c>
      <c r="H29" s="51" t="s">
        <v>0</v>
      </c>
      <c r="I29" s="51">
        <f>D25</f>
        <v>0.184</v>
      </c>
      <c r="J29" s="46">
        <v>3500</v>
      </c>
      <c r="K29" s="51">
        <f>I29*J29</f>
        <v>644</v>
      </c>
      <c r="L29" s="51"/>
      <c r="M29" s="47"/>
      <c r="N29" s="48">
        <f t="shared" si="6"/>
        <v>30.20682</v>
      </c>
      <c r="O29" s="48">
        <f t="shared" si="7"/>
        <v>926.34248</v>
      </c>
      <c r="P29" s="49"/>
      <c r="Q29" s="58" t="e">
        <f t="shared" si="8"/>
        <v>#DIV/0!</v>
      </c>
      <c r="R29" s="58">
        <f t="shared" si="9"/>
        <v>0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s="3" customFormat="1" ht="12.75">
      <c r="A30" s="53" t="s">
        <v>7</v>
      </c>
      <c r="B30" s="54"/>
      <c r="C30" s="55" t="s">
        <v>17</v>
      </c>
      <c r="D30" s="54"/>
      <c r="E30" s="56"/>
      <c r="F30" s="57">
        <f>SUM(F25:F29)</f>
        <v>1327.4</v>
      </c>
      <c r="G30" s="54"/>
      <c r="H30" s="54"/>
      <c r="I30" s="54"/>
      <c r="J30" s="54"/>
      <c r="K30" s="55">
        <f>SUM(K26:K29)</f>
        <v>644</v>
      </c>
      <c r="L30" s="55">
        <f>F30+K30</f>
        <v>1971.4</v>
      </c>
      <c r="M30" s="42">
        <f>расчет!E13</f>
        <v>13.938400000000001</v>
      </c>
      <c r="N30" s="48">
        <f t="shared" si="6"/>
        <v>1909.3587080000002</v>
      </c>
      <c r="O30" s="48">
        <f t="shared" si="7"/>
        <v>926.34248</v>
      </c>
      <c r="P30" s="58">
        <f>L30*M30</f>
        <v>27478.161760000003</v>
      </c>
      <c r="Q30" s="58">
        <f t="shared" si="8"/>
        <v>2835.701188</v>
      </c>
      <c r="R30" s="58">
        <f t="shared" si="9"/>
        <v>39525.137438819205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s="4" customFormat="1" ht="12.75">
      <c r="A31" s="59"/>
      <c r="B31" s="60"/>
      <c r="C31" s="61"/>
      <c r="D31" s="61"/>
      <c r="E31" s="62"/>
      <c r="F31" s="62"/>
      <c r="G31" s="60"/>
      <c r="H31" s="61"/>
      <c r="I31" s="61"/>
      <c r="J31" s="61"/>
      <c r="K31" s="61"/>
      <c r="L31" s="61"/>
      <c r="M31" s="42"/>
      <c r="N31" s="48">
        <f t="shared" si="6"/>
        <v>0</v>
      </c>
      <c r="O31" s="48">
        <f t="shared" si="7"/>
        <v>0</v>
      </c>
      <c r="P31" s="58">
        <f>L31*M31</f>
        <v>0</v>
      </c>
      <c r="Q31" s="58" t="e">
        <f t="shared" si="8"/>
        <v>#DIV/0!</v>
      </c>
      <c r="R31" s="58">
        <f t="shared" si="9"/>
        <v>0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31.5" hidden="1">
      <c r="A32" s="41" t="s">
        <v>16</v>
      </c>
      <c r="B32" s="42"/>
      <c r="C32" s="43" t="s">
        <v>17</v>
      </c>
      <c r="D32" s="42"/>
      <c r="E32" s="44"/>
      <c r="F32" s="45"/>
      <c r="G32" s="42"/>
      <c r="H32" s="42"/>
      <c r="I32" s="42"/>
      <c r="J32" s="46"/>
      <c r="K32" s="42"/>
      <c r="L32" s="42"/>
      <c r="M32" s="47"/>
      <c r="N32" s="48">
        <f aca="true" t="shared" si="10" ref="N32:N40">F32*$M$273</f>
        <v>0</v>
      </c>
      <c r="O32" s="48">
        <f aca="true" t="shared" si="11" ref="O32:O40">K32*$M$273</f>
        <v>0</v>
      </c>
      <c r="P32" s="49"/>
      <c r="Q32" s="58" t="e">
        <f t="shared" si="2"/>
        <v>#DIV/0!</v>
      </c>
      <c r="R32" s="58">
        <f t="shared" si="3"/>
        <v>0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26.25" hidden="1">
      <c r="A33" s="63" t="s">
        <v>153</v>
      </c>
      <c r="B33" s="51"/>
      <c r="C33" s="51"/>
      <c r="D33" s="51"/>
      <c r="E33" s="44"/>
      <c r="F33" s="52"/>
      <c r="G33" s="51"/>
      <c r="H33" s="51"/>
      <c r="I33" s="51"/>
      <c r="J33" s="46"/>
      <c r="K33" s="51"/>
      <c r="L33" s="51"/>
      <c r="M33" s="47"/>
      <c r="N33" s="48">
        <f t="shared" si="10"/>
        <v>0</v>
      </c>
      <c r="O33" s="48">
        <f t="shared" si="11"/>
        <v>0</v>
      </c>
      <c r="P33" s="49"/>
      <c r="Q33" s="58" t="e">
        <f t="shared" si="2"/>
        <v>#DIV/0!</v>
      </c>
      <c r="R33" s="58">
        <f t="shared" si="3"/>
        <v>0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5" hidden="1">
      <c r="A34" s="50"/>
      <c r="B34" s="51"/>
      <c r="C34" s="51"/>
      <c r="D34" s="51"/>
      <c r="E34" s="44"/>
      <c r="F34" s="52"/>
      <c r="G34" s="51"/>
      <c r="H34" s="51"/>
      <c r="I34" s="51"/>
      <c r="J34" s="46"/>
      <c r="K34" s="51"/>
      <c r="L34" s="51"/>
      <c r="M34" s="47"/>
      <c r="N34" s="48">
        <f t="shared" si="10"/>
        <v>0</v>
      </c>
      <c r="O34" s="48">
        <f t="shared" si="11"/>
        <v>0</v>
      </c>
      <c r="P34" s="49"/>
      <c r="Q34" s="58" t="e">
        <f t="shared" si="2"/>
        <v>#DIV/0!</v>
      </c>
      <c r="R34" s="58">
        <f t="shared" si="3"/>
        <v>0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5" hidden="1">
      <c r="A35" s="50"/>
      <c r="B35" s="51" t="s">
        <v>19</v>
      </c>
      <c r="C35" s="51" t="s">
        <v>0</v>
      </c>
      <c r="D35" s="51">
        <f>0.3*1.2+3.2*0.2*0.2*0.5</f>
        <v>0.424</v>
      </c>
      <c r="E35" s="44">
        <v>7100</v>
      </c>
      <c r="F35" s="52">
        <f>D35*E35</f>
        <v>3010.4</v>
      </c>
      <c r="G35" s="51"/>
      <c r="H35" s="51"/>
      <c r="I35" s="51"/>
      <c r="J35" s="46"/>
      <c r="K35" s="51"/>
      <c r="L35" s="51"/>
      <c r="M35" s="47"/>
      <c r="N35" s="48">
        <f t="shared" si="10"/>
        <v>4330.219568</v>
      </c>
      <c r="O35" s="48">
        <f t="shared" si="11"/>
        <v>0</v>
      </c>
      <c r="P35" s="49"/>
      <c r="Q35" s="58" t="e">
        <f t="shared" si="2"/>
        <v>#DIV/0!</v>
      </c>
      <c r="R35" s="58">
        <f t="shared" si="3"/>
        <v>0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5" hidden="1">
      <c r="A36" s="50"/>
      <c r="B36" s="51" t="s">
        <v>20</v>
      </c>
      <c r="C36" s="51" t="s">
        <v>1</v>
      </c>
      <c r="D36" s="51">
        <f>1*1.2*2</f>
        <v>2.4</v>
      </c>
      <c r="E36" s="44">
        <v>175</v>
      </c>
      <c r="F36" s="52">
        <f>D36*E36</f>
        <v>420</v>
      </c>
      <c r="G36" s="51"/>
      <c r="H36" s="51"/>
      <c r="I36" s="51"/>
      <c r="J36" s="46"/>
      <c r="K36" s="51"/>
      <c r="L36" s="51"/>
      <c r="M36" s="47"/>
      <c r="N36" s="48">
        <f t="shared" si="10"/>
        <v>604.1364</v>
      </c>
      <c r="O36" s="48">
        <f t="shared" si="11"/>
        <v>0</v>
      </c>
      <c r="P36" s="49"/>
      <c r="Q36" s="58" t="e">
        <f t="shared" si="2"/>
        <v>#DIV/0!</v>
      </c>
      <c r="R36" s="58">
        <f t="shared" si="3"/>
        <v>0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5" hidden="1">
      <c r="A37" s="50"/>
      <c r="B37" s="51" t="s">
        <v>21</v>
      </c>
      <c r="C37" s="51" t="s">
        <v>22</v>
      </c>
      <c r="D37" s="51">
        <f>6+9*0.3</f>
        <v>8.7</v>
      </c>
      <c r="E37" s="44">
        <v>17</v>
      </c>
      <c r="F37" s="52">
        <f>D37*E37</f>
        <v>147.89999999999998</v>
      </c>
      <c r="G37" s="51"/>
      <c r="H37" s="51"/>
      <c r="I37" s="51"/>
      <c r="J37" s="46"/>
      <c r="K37" s="51"/>
      <c r="L37" s="51"/>
      <c r="M37" s="47"/>
      <c r="N37" s="48">
        <f t="shared" si="10"/>
        <v>212.74231799999998</v>
      </c>
      <c r="O37" s="48">
        <f t="shared" si="11"/>
        <v>0</v>
      </c>
      <c r="P37" s="49"/>
      <c r="Q37" s="58" t="e">
        <f t="shared" si="2"/>
        <v>#DIV/0!</v>
      </c>
      <c r="R37" s="58">
        <f t="shared" si="3"/>
        <v>0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5" hidden="1">
      <c r="A38" s="50"/>
      <c r="B38" s="51" t="s">
        <v>23</v>
      </c>
      <c r="C38" s="51" t="s">
        <v>2</v>
      </c>
      <c r="D38" s="51">
        <v>24</v>
      </c>
      <c r="E38" s="44">
        <v>1</v>
      </c>
      <c r="F38" s="52">
        <f>D38*E38</f>
        <v>24</v>
      </c>
      <c r="G38" s="51"/>
      <c r="H38" s="51"/>
      <c r="I38" s="51"/>
      <c r="J38" s="46"/>
      <c r="K38" s="51"/>
      <c r="L38" s="51"/>
      <c r="M38" s="47"/>
      <c r="N38" s="48">
        <f t="shared" si="10"/>
        <v>34.52208</v>
      </c>
      <c r="O38" s="48">
        <f t="shared" si="11"/>
        <v>0</v>
      </c>
      <c r="P38" s="49"/>
      <c r="Q38" s="58" t="e">
        <f t="shared" si="2"/>
        <v>#DIV/0!</v>
      </c>
      <c r="R38" s="58">
        <f t="shared" si="3"/>
        <v>0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5" hidden="1">
      <c r="A39" s="50"/>
      <c r="B39" s="51" t="s">
        <v>24</v>
      </c>
      <c r="C39" s="51" t="s">
        <v>1</v>
      </c>
      <c r="D39" s="51">
        <f>0.3</f>
        <v>0.3</v>
      </c>
      <c r="E39" s="44">
        <v>70</v>
      </c>
      <c r="F39" s="52">
        <f>D39*E39</f>
        <v>21</v>
      </c>
      <c r="G39" s="51" t="s">
        <v>25</v>
      </c>
      <c r="H39" s="51" t="s">
        <v>0</v>
      </c>
      <c r="I39" s="51">
        <f>D35</f>
        <v>0.424</v>
      </c>
      <c r="J39" s="46">
        <v>3500</v>
      </c>
      <c r="K39" s="51">
        <f>I39*J39</f>
        <v>1484</v>
      </c>
      <c r="L39" s="51"/>
      <c r="M39" s="47"/>
      <c r="N39" s="48">
        <f t="shared" si="10"/>
        <v>30.20682</v>
      </c>
      <c r="O39" s="48">
        <f t="shared" si="11"/>
        <v>2134.61528</v>
      </c>
      <c r="P39" s="49"/>
      <c r="Q39" s="58" t="e">
        <f t="shared" si="2"/>
        <v>#DIV/0!</v>
      </c>
      <c r="R39" s="58">
        <f t="shared" si="3"/>
        <v>0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s="3" customFormat="1" ht="12.75" hidden="1">
      <c r="A40" s="53" t="s">
        <v>7</v>
      </c>
      <c r="B40" s="54"/>
      <c r="C40" s="55" t="s">
        <v>17</v>
      </c>
      <c r="D40" s="54"/>
      <c r="E40" s="56"/>
      <c r="F40" s="57">
        <f>SUM(F35:F39)</f>
        <v>3623.3</v>
      </c>
      <c r="G40" s="54"/>
      <c r="H40" s="54"/>
      <c r="I40" s="54"/>
      <c r="J40" s="54"/>
      <c r="K40" s="55">
        <f>SUM(K36:K39)</f>
        <v>1484</v>
      </c>
      <c r="L40" s="55">
        <f>F40+K40</f>
        <v>5107.3</v>
      </c>
      <c r="M40" s="42"/>
      <c r="N40" s="48">
        <f t="shared" si="10"/>
        <v>5211.827186</v>
      </c>
      <c r="O40" s="48">
        <f t="shared" si="11"/>
        <v>2134.61528</v>
      </c>
      <c r="P40" s="58">
        <f>L40*M40</f>
        <v>0</v>
      </c>
      <c r="Q40" s="58" t="e">
        <f t="shared" si="2"/>
        <v>#DIV/0!</v>
      </c>
      <c r="R40" s="58">
        <f t="shared" si="3"/>
        <v>0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s="4" customFormat="1" ht="12.75" hidden="1">
      <c r="A41" s="59"/>
      <c r="B41" s="60"/>
      <c r="C41" s="61"/>
      <c r="D41" s="61"/>
      <c r="E41" s="62"/>
      <c r="F41" s="62"/>
      <c r="G41" s="60"/>
      <c r="H41" s="61"/>
      <c r="I41" s="61"/>
      <c r="J41" s="61"/>
      <c r="K41" s="61"/>
      <c r="L41" s="61"/>
      <c r="M41" s="42"/>
      <c r="N41" s="48">
        <f>F41*$M$273</f>
        <v>0</v>
      </c>
      <c r="O41" s="48">
        <f>K41*$M$273</f>
        <v>0</v>
      </c>
      <c r="P41" s="58">
        <f>L41*M41</f>
        <v>0</v>
      </c>
      <c r="Q41" s="58" t="e">
        <f t="shared" si="2"/>
        <v>#DIV/0!</v>
      </c>
      <c r="R41" s="58">
        <f t="shared" si="3"/>
        <v>0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5.75" hidden="1">
      <c r="A42" s="41" t="s">
        <v>151</v>
      </c>
      <c r="B42" s="42"/>
      <c r="C42" s="43" t="s">
        <v>17</v>
      </c>
      <c r="D42" s="42"/>
      <c r="E42" s="44"/>
      <c r="F42" s="45"/>
      <c r="G42" s="42"/>
      <c r="H42" s="42"/>
      <c r="I42" s="42"/>
      <c r="J42" s="46"/>
      <c r="K42" s="42"/>
      <c r="L42" s="42"/>
      <c r="M42" s="47"/>
      <c r="N42" s="48">
        <f aca="true" t="shared" si="12" ref="N42:N105">F42*$M$273</f>
        <v>0</v>
      </c>
      <c r="O42" s="48">
        <f aca="true" t="shared" si="13" ref="O42:O105">K42*$M$273</f>
        <v>0</v>
      </c>
      <c r="P42" s="49"/>
      <c r="Q42" s="58" t="e">
        <f t="shared" si="2"/>
        <v>#DIV/0!</v>
      </c>
      <c r="R42" s="58">
        <f t="shared" si="3"/>
        <v>0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5" hidden="1">
      <c r="A43" s="63" t="s">
        <v>150</v>
      </c>
      <c r="B43" s="51"/>
      <c r="C43" s="51"/>
      <c r="D43" s="51"/>
      <c r="E43" s="44"/>
      <c r="F43" s="52"/>
      <c r="G43" s="51"/>
      <c r="H43" s="51"/>
      <c r="I43" s="51"/>
      <c r="J43" s="46"/>
      <c r="K43" s="51"/>
      <c r="L43" s="51"/>
      <c r="M43" s="47"/>
      <c r="N43" s="48">
        <f t="shared" si="12"/>
        <v>0</v>
      </c>
      <c r="O43" s="48">
        <f t="shared" si="13"/>
        <v>0</v>
      </c>
      <c r="P43" s="49"/>
      <c r="Q43" s="58" t="e">
        <f t="shared" si="2"/>
        <v>#DIV/0!</v>
      </c>
      <c r="R43" s="58">
        <f t="shared" si="3"/>
        <v>0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5" hidden="1">
      <c r="A44" s="50"/>
      <c r="B44" s="51"/>
      <c r="C44" s="51"/>
      <c r="D44" s="51"/>
      <c r="E44" s="44"/>
      <c r="F44" s="52"/>
      <c r="G44" s="51"/>
      <c r="H44" s="51"/>
      <c r="I44" s="51"/>
      <c r="J44" s="46"/>
      <c r="K44" s="51"/>
      <c r="L44" s="51"/>
      <c r="M44" s="47"/>
      <c r="N44" s="48">
        <f t="shared" si="12"/>
        <v>0</v>
      </c>
      <c r="O44" s="48">
        <f t="shared" si="13"/>
        <v>0</v>
      </c>
      <c r="P44" s="49"/>
      <c r="Q44" s="58" t="e">
        <f t="shared" si="2"/>
        <v>#DIV/0!</v>
      </c>
      <c r="R44" s="58">
        <f t="shared" si="3"/>
        <v>0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5" hidden="1">
      <c r="A45" s="50"/>
      <c r="B45" s="51" t="s">
        <v>19</v>
      </c>
      <c r="C45" s="51" t="s">
        <v>0</v>
      </c>
      <c r="D45" s="51">
        <f>0.3*0.7</f>
        <v>0.21</v>
      </c>
      <c r="E45" s="44">
        <v>7000</v>
      </c>
      <c r="F45" s="52">
        <f>D45*E45</f>
        <v>1470</v>
      </c>
      <c r="G45" s="51"/>
      <c r="H45" s="51"/>
      <c r="I45" s="51"/>
      <c r="J45" s="46"/>
      <c r="K45" s="51"/>
      <c r="L45" s="51"/>
      <c r="M45" s="47"/>
      <c r="N45" s="48">
        <f t="shared" si="12"/>
        <v>2114.4774</v>
      </c>
      <c r="O45" s="48">
        <f t="shared" si="13"/>
        <v>0</v>
      </c>
      <c r="P45" s="49"/>
      <c r="Q45" s="58" t="e">
        <f t="shared" si="2"/>
        <v>#DIV/0!</v>
      </c>
      <c r="R45" s="58">
        <f t="shared" si="3"/>
        <v>0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5" hidden="1">
      <c r="A46" s="50"/>
      <c r="B46" s="51" t="s">
        <v>20</v>
      </c>
      <c r="C46" s="51" t="s">
        <v>1</v>
      </c>
      <c r="D46" s="51">
        <f>0.3*0.7*2</f>
        <v>0.42</v>
      </c>
      <c r="E46" s="44">
        <v>175</v>
      </c>
      <c r="F46" s="52">
        <f>D46*E46</f>
        <v>73.5</v>
      </c>
      <c r="G46" s="51"/>
      <c r="H46" s="51"/>
      <c r="I46" s="51"/>
      <c r="J46" s="46"/>
      <c r="K46" s="51"/>
      <c r="L46" s="51"/>
      <c r="M46" s="47"/>
      <c r="N46" s="48">
        <f t="shared" si="12"/>
        <v>105.72387</v>
      </c>
      <c r="O46" s="48">
        <f t="shared" si="13"/>
        <v>0</v>
      </c>
      <c r="P46" s="49"/>
      <c r="Q46" s="58" t="e">
        <f t="shared" si="2"/>
        <v>#DIV/0!</v>
      </c>
      <c r="R46" s="58">
        <f t="shared" si="3"/>
        <v>0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5" hidden="1">
      <c r="A47" s="50"/>
      <c r="B47" s="51" t="s">
        <v>21</v>
      </c>
      <c r="C47" s="51" t="s">
        <v>22</v>
      </c>
      <c r="D47" s="51">
        <f>(4+6*0.3)*2</f>
        <v>11.6</v>
      </c>
      <c r="E47" s="44">
        <v>17</v>
      </c>
      <c r="F47" s="52">
        <f>D47*E47</f>
        <v>197.2</v>
      </c>
      <c r="G47" s="51"/>
      <c r="H47" s="51"/>
      <c r="I47" s="51"/>
      <c r="J47" s="46"/>
      <c r="K47" s="51"/>
      <c r="L47" s="51"/>
      <c r="M47" s="47"/>
      <c r="N47" s="48">
        <f t="shared" si="12"/>
        <v>283.656424</v>
      </c>
      <c r="O47" s="48">
        <f t="shared" si="13"/>
        <v>0</v>
      </c>
      <c r="P47" s="49"/>
      <c r="Q47" s="58" t="e">
        <f t="shared" si="2"/>
        <v>#DIV/0!</v>
      </c>
      <c r="R47" s="58">
        <f t="shared" si="3"/>
        <v>0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5" hidden="1">
      <c r="A48" s="50"/>
      <c r="B48" s="51" t="s">
        <v>23</v>
      </c>
      <c r="C48" s="51" t="s">
        <v>2</v>
      </c>
      <c r="D48" s="64">
        <f>24*2</f>
        <v>48</v>
      </c>
      <c r="E48" s="44">
        <v>1</v>
      </c>
      <c r="F48" s="52">
        <f>D48*E48</f>
        <v>48</v>
      </c>
      <c r="G48" s="51"/>
      <c r="H48" s="51"/>
      <c r="I48" s="51"/>
      <c r="J48" s="46"/>
      <c r="K48" s="51"/>
      <c r="L48" s="51"/>
      <c r="M48" s="47"/>
      <c r="N48" s="48">
        <f t="shared" si="12"/>
        <v>69.04416</v>
      </c>
      <c r="O48" s="48">
        <f t="shared" si="13"/>
        <v>0</v>
      </c>
      <c r="P48" s="49"/>
      <c r="Q48" s="58" t="e">
        <f t="shared" si="2"/>
        <v>#DIV/0!</v>
      </c>
      <c r="R48" s="58">
        <f t="shared" si="3"/>
        <v>0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5" hidden="1">
      <c r="A49" s="50"/>
      <c r="B49" s="51" t="s">
        <v>24</v>
      </c>
      <c r="C49" s="51" t="s">
        <v>1</v>
      </c>
      <c r="D49" s="51">
        <f>0.3</f>
        <v>0.3</v>
      </c>
      <c r="E49" s="44">
        <v>70</v>
      </c>
      <c r="F49" s="52">
        <f>D49*E49</f>
        <v>21</v>
      </c>
      <c r="G49" s="51" t="s">
        <v>25</v>
      </c>
      <c r="H49" s="51" t="s">
        <v>0</v>
      </c>
      <c r="I49" s="51">
        <f>D45</f>
        <v>0.21</v>
      </c>
      <c r="J49" s="46">
        <v>3500</v>
      </c>
      <c r="K49" s="51">
        <f>I49*J49</f>
        <v>735</v>
      </c>
      <c r="L49" s="51"/>
      <c r="M49" s="47"/>
      <c r="N49" s="48">
        <f t="shared" si="12"/>
        <v>30.20682</v>
      </c>
      <c r="O49" s="48">
        <f t="shared" si="13"/>
        <v>1057.2387</v>
      </c>
      <c r="P49" s="49"/>
      <c r="Q49" s="58" t="e">
        <f t="shared" si="2"/>
        <v>#DIV/0!</v>
      </c>
      <c r="R49" s="58">
        <f t="shared" si="3"/>
        <v>0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s="3" customFormat="1" ht="12.75" hidden="1">
      <c r="A50" s="53" t="s">
        <v>7</v>
      </c>
      <c r="B50" s="54"/>
      <c r="C50" s="55" t="s">
        <v>17</v>
      </c>
      <c r="D50" s="54"/>
      <c r="E50" s="56"/>
      <c r="F50" s="57">
        <f>SUM(F45:F49)</f>
        <v>1809.7</v>
      </c>
      <c r="G50" s="54"/>
      <c r="H50" s="54"/>
      <c r="I50" s="54"/>
      <c r="J50" s="54"/>
      <c r="K50" s="55">
        <f>SUM(K46:K49)</f>
        <v>735</v>
      </c>
      <c r="L50" s="55">
        <f>F50+K50</f>
        <v>2544.7</v>
      </c>
      <c r="M50" s="42"/>
      <c r="N50" s="48">
        <f t="shared" si="12"/>
        <v>2603.108674</v>
      </c>
      <c r="O50" s="48">
        <f t="shared" si="13"/>
        <v>1057.2387</v>
      </c>
      <c r="P50" s="58">
        <f>L50*M50</f>
        <v>0</v>
      </c>
      <c r="Q50" s="58" t="e">
        <f t="shared" si="2"/>
        <v>#DIV/0!</v>
      </c>
      <c r="R50" s="58">
        <f t="shared" si="3"/>
        <v>0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s="4" customFormat="1" ht="12.75" hidden="1">
      <c r="A51" s="59"/>
      <c r="B51" s="60"/>
      <c r="C51" s="61"/>
      <c r="D51" s="61"/>
      <c r="E51" s="62"/>
      <c r="F51" s="62"/>
      <c r="G51" s="60"/>
      <c r="H51" s="61"/>
      <c r="I51" s="61"/>
      <c r="J51" s="61"/>
      <c r="K51" s="61"/>
      <c r="L51" s="61"/>
      <c r="M51" s="42"/>
      <c r="N51" s="48">
        <f t="shared" si="12"/>
        <v>0</v>
      </c>
      <c r="O51" s="48">
        <f t="shared" si="13"/>
        <v>0</v>
      </c>
      <c r="P51" s="58">
        <f aca="true" t="shared" si="14" ref="P51:P114">L51*M51</f>
        <v>0</v>
      </c>
      <c r="Q51" s="58" t="e">
        <f t="shared" si="2"/>
        <v>#DIV/0!</v>
      </c>
      <c r="R51" s="58">
        <f t="shared" si="3"/>
        <v>0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s="5" customFormat="1" ht="31.5">
      <c r="A52" s="41" t="s">
        <v>178</v>
      </c>
      <c r="B52" s="65" t="s">
        <v>10</v>
      </c>
      <c r="C52" s="42" t="s">
        <v>1</v>
      </c>
      <c r="D52" s="42"/>
      <c r="E52" s="44"/>
      <c r="F52" s="45"/>
      <c r="G52" s="65" t="s">
        <v>5</v>
      </c>
      <c r="H52" s="42"/>
      <c r="I52" s="42"/>
      <c r="J52" s="46"/>
      <c r="K52" s="42"/>
      <c r="L52" s="42"/>
      <c r="M52" s="42"/>
      <c r="N52" s="48">
        <f t="shared" si="12"/>
        <v>0</v>
      </c>
      <c r="O52" s="48">
        <f t="shared" si="13"/>
        <v>0</v>
      </c>
      <c r="P52" s="58">
        <f t="shared" si="14"/>
        <v>0</v>
      </c>
      <c r="Q52" s="58" t="e">
        <f t="shared" si="2"/>
        <v>#DIV/0!</v>
      </c>
      <c r="R52" s="58">
        <f t="shared" si="3"/>
        <v>0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5">
      <c r="A53" s="50" t="s">
        <v>26</v>
      </c>
      <c r="B53" s="51" t="s">
        <v>26</v>
      </c>
      <c r="C53" s="51" t="s">
        <v>0</v>
      </c>
      <c r="D53" s="51">
        <v>0.25</v>
      </c>
      <c r="E53" s="102">
        <f>'[1]цены конструкций'!$G$6/0.25*0.92</f>
        <v>9618.440003623979</v>
      </c>
      <c r="F53" s="52">
        <f>D53*E53</f>
        <v>2404.6100009059946</v>
      </c>
      <c r="G53" s="51"/>
      <c r="H53" s="51"/>
      <c r="I53" s="51"/>
      <c r="J53" s="46"/>
      <c r="K53" s="51"/>
      <c r="L53" s="51"/>
      <c r="M53" s="47"/>
      <c r="N53" s="48">
        <f t="shared" si="12"/>
        <v>3458.8391175032007</v>
      </c>
      <c r="O53" s="48">
        <f t="shared" si="13"/>
        <v>0</v>
      </c>
      <c r="P53" s="58">
        <f t="shared" si="14"/>
        <v>0</v>
      </c>
      <c r="Q53" s="58" t="e">
        <f t="shared" si="2"/>
        <v>#DIV/0!</v>
      </c>
      <c r="R53" s="58">
        <f t="shared" si="3"/>
        <v>0</v>
      </c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5">
      <c r="A54" s="50"/>
      <c r="B54" s="51" t="s">
        <v>27</v>
      </c>
      <c r="C54" s="51" t="s">
        <v>22</v>
      </c>
      <c r="D54" s="51">
        <v>1</v>
      </c>
      <c r="E54" s="44">
        <v>12</v>
      </c>
      <c r="F54" s="52">
        <f>D54*E54</f>
        <v>12</v>
      </c>
      <c r="G54" s="51"/>
      <c r="H54" s="51"/>
      <c r="I54" s="51"/>
      <c r="J54" s="46"/>
      <c r="K54" s="51">
        <f>I54*J54</f>
        <v>0</v>
      </c>
      <c r="L54" s="51"/>
      <c r="M54" s="47"/>
      <c r="N54" s="48">
        <f t="shared" si="12"/>
        <v>17.26104</v>
      </c>
      <c r="O54" s="48">
        <f t="shared" si="13"/>
        <v>0</v>
      </c>
      <c r="P54" s="58">
        <f t="shared" si="14"/>
        <v>0</v>
      </c>
      <c r="Q54" s="58" t="e">
        <f t="shared" si="2"/>
        <v>#DIV/0!</v>
      </c>
      <c r="R54" s="58">
        <f t="shared" si="3"/>
        <v>0</v>
      </c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5">
      <c r="A55" s="50"/>
      <c r="B55" s="51" t="s">
        <v>28</v>
      </c>
      <c r="C55" s="51" t="s">
        <v>29</v>
      </c>
      <c r="D55" s="86">
        <v>0</v>
      </c>
      <c r="E55" s="44">
        <v>260</v>
      </c>
      <c r="F55" s="52">
        <f>D55*E55</f>
        <v>0</v>
      </c>
      <c r="G55" s="51" t="s">
        <v>30</v>
      </c>
      <c r="H55" s="51" t="s">
        <v>1</v>
      </c>
      <c r="I55" s="51">
        <v>1</v>
      </c>
      <c r="J55" s="46">
        <v>245</v>
      </c>
      <c r="K55" s="51">
        <f>I55*J55</f>
        <v>245</v>
      </c>
      <c r="L55" s="51"/>
      <c r="M55" s="47"/>
      <c r="N55" s="48">
        <f t="shared" si="12"/>
        <v>0</v>
      </c>
      <c r="O55" s="48">
        <f t="shared" si="13"/>
        <v>352.41290000000004</v>
      </c>
      <c r="P55" s="58">
        <f t="shared" si="14"/>
        <v>0</v>
      </c>
      <c r="Q55" s="58" t="e">
        <f t="shared" si="2"/>
        <v>#DIV/0!</v>
      </c>
      <c r="R55" s="58">
        <f t="shared" si="3"/>
        <v>0</v>
      </c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5">
      <c r="A56" s="50"/>
      <c r="B56" s="51" t="s">
        <v>31</v>
      </c>
      <c r="C56" s="51" t="s">
        <v>2</v>
      </c>
      <c r="D56" s="86">
        <v>0</v>
      </c>
      <c r="E56" s="44">
        <v>100</v>
      </c>
      <c r="F56" s="52">
        <f>D56*E56</f>
        <v>0</v>
      </c>
      <c r="G56" s="51" t="s">
        <v>32</v>
      </c>
      <c r="H56" s="51" t="s">
        <v>1</v>
      </c>
      <c r="I56" s="51">
        <v>1</v>
      </c>
      <c r="J56" s="86">
        <v>0</v>
      </c>
      <c r="K56" s="51">
        <f>I56*J56</f>
        <v>0</v>
      </c>
      <c r="L56" s="51"/>
      <c r="M56" s="47"/>
      <c r="N56" s="48">
        <f t="shared" si="12"/>
        <v>0</v>
      </c>
      <c r="O56" s="48">
        <f t="shared" si="13"/>
        <v>0</v>
      </c>
      <c r="P56" s="58">
        <f t="shared" si="14"/>
        <v>0</v>
      </c>
      <c r="Q56" s="58" t="e">
        <f t="shared" si="2"/>
        <v>#DIV/0!</v>
      </c>
      <c r="R56" s="58">
        <f t="shared" si="3"/>
        <v>0</v>
      </c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s="3" customFormat="1" ht="12.75">
      <c r="A57" s="53" t="s">
        <v>84</v>
      </c>
      <c r="B57" s="54"/>
      <c r="C57" s="55" t="s">
        <v>1</v>
      </c>
      <c r="D57" s="54"/>
      <c r="E57" s="56"/>
      <c r="F57" s="56">
        <f>SUM(F53:F56)</f>
        <v>2416.6100009059946</v>
      </c>
      <c r="G57" s="54"/>
      <c r="H57" s="54" t="s">
        <v>1</v>
      </c>
      <c r="I57" s="54"/>
      <c r="J57" s="54"/>
      <c r="K57" s="54">
        <f>SUM(K54:K56)</f>
        <v>245</v>
      </c>
      <c r="L57" s="55">
        <f>F57+K57</f>
        <v>2661.6100009059946</v>
      </c>
      <c r="M57" s="48">
        <f>расчет!E14</f>
        <v>194.564</v>
      </c>
      <c r="N57" s="48">
        <f t="shared" si="12"/>
        <v>3476.100157503201</v>
      </c>
      <c r="O57" s="48">
        <f t="shared" si="13"/>
        <v>352.41290000000004</v>
      </c>
      <c r="P57" s="58">
        <f t="shared" si="14"/>
        <v>517853.4882162739</v>
      </c>
      <c r="Q57" s="58">
        <f t="shared" si="2"/>
        <v>3828.513057503201</v>
      </c>
      <c r="R57" s="58">
        <f t="shared" si="3"/>
        <v>744890.8145200528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s="4" customFormat="1" ht="12.75">
      <c r="A58" s="59"/>
      <c r="B58" s="60" t="s">
        <v>10</v>
      </c>
      <c r="C58" s="61"/>
      <c r="D58" s="61"/>
      <c r="E58" s="62"/>
      <c r="F58" s="62"/>
      <c r="G58" s="60" t="s">
        <v>5</v>
      </c>
      <c r="H58" s="61"/>
      <c r="I58" s="61"/>
      <c r="J58" s="61"/>
      <c r="K58" s="61"/>
      <c r="L58" s="61"/>
      <c r="M58" s="42"/>
      <c r="N58" s="48">
        <f t="shared" si="12"/>
        <v>0</v>
      </c>
      <c r="O58" s="48">
        <f t="shared" si="13"/>
        <v>0</v>
      </c>
      <c r="P58" s="58">
        <f t="shared" si="14"/>
        <v>0</v>
      </c>
      <c r="Q58" s="58" t="e">
        <f t="shared" si="2"/>
        <v>#DIV/0!</v>
      </c>
      <c r="R58" s="58">
        <f t="shared" si="3"/>
        <v>0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s="6" customFormat="1" ht="15.75">
      <c r="A59" s="41" t="s">
        <v>33</v>
      </c>
      <c r="B59" s="43"/>
      <c r="C59" s="42" t="s">
        <v>1</v>
      </c>
      <c r="D59" s="42"/>
      <c r="E59" s="44"/>
      <c r="F59" s="45"/>
      <c r="G59" s="42"/>
      <c r="H59" s="42"/>
      <c r="I59" s="42"/>
      <c r="J59" s="46"/>
      <c r="K59" s="42"/>
      <c r="L59" s="42"/>
      <c r="M59" s="42"/>
      <c r="N59" s="48">
        <f t="shared" si="12"/>
        <v>0</v>
      </c>
      <c r="O59" s="48">
        <f t="shared" si="13"/>
        <v>0</v>
      </c>
      <c r="P59" s="58">
        <f t="shared" si="14"/>
        <v>0</v>
      </c>
      <c r="Q59" s="58" t="e">
        <f t="shared" si="2"/>
        <v>#DIV/0!</v>
      </c>
      <c r="R59" s="58">
        <f t="shared" si="3"/>
        <v>0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5">
      <c r="A60" s="50"/>
      <c r="B60" s="64" t="s">
        <v>34</v>
      </c>
      <c r="C60" s="51" t="s">
        <v>0</v>
      </c>
      <c r="D60" s="86">
        <v>0.028</v>
      </c>
      <c r="E60" s="44">
        <v>12000</v>
      </c>
      <c r="F60" s="52">
        <f>D60*E60</f>
        <v>336</v>
      </c>
      <c r="G60" s="51"/>
      <c r="H60" s="51"/>
      <c r="I60" s="51"/>
      <c r="J60" s="46"/>
      <c r="K60" s="51"/>
      <c r="L60" s="51"/>
      <c r="M60" s="47"/>
      <c r="N60" s="48">
        <f t="shared" si="12"/>
        <v>483.30912</v>
      </c>
      <c r="O60" s="48">
        <f t="shared" si="13"/>
        <v>0</v>
      </c>
      <c r="P60" s="58">
        <f t="shared" si="14"/>
        <v>0</v>
      </c>
      <c r="Q60" s="58" t="e">
        <f t="shared" si="2"/>
        <v>#DIV/0!</v>
      </c>
      <c r="R60" s="58">
        <f t="shared" si="3"/>
        <v>0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5">
      <c r="A61" s="50"/>
      <c r="B61" s="51" t="s">
        <v>3</v>
      </c>
      <c r="C61" s="51" t="s">
        <v>0</v>
      </c>
      <c r="D61" s="86">
        <f>0.7*0.15*10/7</f>
        <v>0.15</v>
      </c>
      <c r="E61" s="44">
        <v>5500</v>
      </c>
      <c r="F61" s="52">
        <f aca="true" t="shared" si="15" ref="F61:F66">D61*E61</f>
        <v>825</v>
      </c>
      <c r="G61" s="51"/>
      <c r="H61" s="51"/>
      <c r="I61" s="51"/>
      <c r="J61" s="46"/>
      <c r="K61" s="51"/>
      <c r="L61" s="51"/>
      <c r="M61" s="47"/>
      <c r="N61" s="48">
        <f t="shared" si="12"/>
        <v>1186.6965</v>
      </c>
      <c r="O61" s="48">
        <f t="shared" si="13"/>
        <v>0</v>
      </c>
      <c r="P61" s="58">
        <f t="shared" si="14"/>
        <v>0</v>
      </c>
      <c r="Q61" s="58" t="e">
        <f t="shared" si="2"/>
        <v>#DIV/0!</v>
      </c>
      <c r="R61" s="58">
        <f t="shared" si="3"/>
        <v>0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5">
      <c r="A62" s="50"/>
      <c r="B62" s="51" t="s">
        <v>35</v>
      </c>
      <c r="C62" s="51" t="s">
        <v>0</v>
      </c>
      <c r="D62" s="86">
        <v>0.05</v>
      </c>
      <c r="E62" s="44">
        <v>1500</v>
      </c>
      <c r="F62" s="52">
        <f t="shared" si="15"/>
        <v>75</v>
      </c>
      <c r="G62" s="51"/>
      <c r="H62" s="51"/>
      <c r="I62" s="51"/>
      <c r="J62" s="46"/>
      <c r="K62" s="51"/>
      <c r="L62" s="51"/>
      <c r="M62" s="47"/>
      <c r="N62" s="48">
        <f t="shared" si="12"/>
        <v>107.8815</v>
      </c>
      <c r="O62" s="48">
        <f t="shared" si="13"/>
        <v>0</v>
      </c>
      <c r="P62" s="58">
        <f t="shared" si="14"/>
        <v>0</v>
      </c>
      <c r="Q62" s="58" t="e">
        <f t="shared" si="2"/>
        <v>#DIV/0!</v>
      </c>
      <c r="R62" s="58">
        <f t="shared" si="3"/>
        <v>0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5">
      <c r="A63" s="50"/>
      <c r="B63" s="51" t="s">
        <v>36</v>
      </c>
      <c r="C63" s="51" t="s">
        <v>1</v>
      </c>
      <c r="D63" s="86">
        <v>2</v>
      </c>
      <c r="E63" s="103">
        <v>15</v>
      </c>
      <c r="F63" s="52">
        <f t="shared" si="15"/>
        <v>30</v>
      </c>
      <c r="G63" s="51"/>
      <c r="H63" s="51"/>
      <c r="I63" s="51"/>
      <c r="J63" s="46"/>
      <c r="K63" s="51"/>
      <c r="L63" s="51"/>
      <c r="M63" s="47"/>
      <c r="N63" s="48">
        <f t="shared" si="12"/>
        <v>43.1526</v>
      </c>
      <c r="O63" s="48">
        <f t="shared" si="13"/>
        <v>0</v>
      </c>
      <c r="P63" s="58">
        <f t="shared" si="14"/>
        <v>0</v>
      </c>
      <c r="Q63" s="58" t="e">
        <f t="shared" si="2"/>
        <v>#DIV/0!</v>
      </c>
      <c r="R63" s="58">
        <f t="shared" si="3"/>
        <v>0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5">
      <c r="A64" s="50"/>
      <c r="B64" s="51" t="s">
        <v>37</v>
      </c>
      <c r="C64" s="51" t="s">
        <v>0</v>
      </c>
      <c r="D64" s="104">
        <f>0.02*0.5</f>
        <v>0.01</v>
      </c>
      <c r="E64" s="44">
        <v>4000</v>
      </c>
      <c r="F64" s="52">
        <f t="shared" si="15"/>
        <v>40</v>
      </c>
      <c r="G64" s="51"/>
      <c r="H64" s="51"/>
      <c r="I64" s="51"/>
      <c r="J64" s="46"/>
      <c r="K64" s="51"/>
      <c r="L64" s="51"/>
      <c r="M64" s="47"/>
      <c r="N64" s="48">
        <f t="shared" si="12"/>
        <v>57.5368</v>
      </c>
      <c r="O64" s="48">
        <f t="shared" si="13"/>
        <v>0</v>
      </c>
      <c r="P64" s="58">
        <f t="shared" si="14"/>
        <v>0</v>
      </c>
      <c r="Q64" s="58" t="e">
        <f t="shared" si="2"/>
        <v>#DIV/0!</v>
      </c>
      <c r="R64" s="58">
        <f t="shared" si="3"/>
        <v>0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5">
      <c r="A65" s="50"/>
      <c r="B65" s="42" t="s">
        <v>38</v>
      </c>
      <c r="C65" s="42" t="s">
        <v>22</v>
      </c>
      <c r="D65" s="86">
        <v>0</v>
      </c>
      <c r="E65" s="44">
        <v>40</v>
      </c>
      <c r="F65" s="52">
        <f t="shared" si="15"/>
        <v>0</v>
      </c>
      <c r="G65" s="51"/>
      <c r="H65" s="51"/>
      <c r="I65" s="51"/>
      <c r="J65" s="46"/>
      <c r="K65" s="51"/>
      <c r="L65" s="51"/>
      <c r="M65" s="47"/>
      <c r="N65" s="48">
        <f t="shared" si="12"/>
        <v>0</v>
      </c>
      <c r="O65" s="48">
        <f t="shared" si="13"/>
        <v>0</v>
      </c>
      <c r="P65" s="58">
        <f t="shared" si="14"/>
        <v>0</v>
      </c>
      <c r="Q65" s="58" t="e">
        <f t="shared" si="2"/>
        <v>#DIV/0!</v>
      </c>
      <c r="R65" s="58">
        <f t="shared" si="3"/>
        <v>0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5">
      <c r="A66" s="50"/>
      <c r="B66" s="51" t="s">
        <v>23</v>
      </c>
      <c r="C66" s="51" t="s">
        <v>2</v>
      </c>
      <c r="D66" s="51">
        <f>10/7*20</f>
        <v>28.571428571428573</v>
      </c>
      <c r="E66" s="44">
        <v>0.7</v>
      </c>
      <c r="F66" s="52">
        <f t="shared" si="15"/>
        <v>20</v>
      </c>
      <c r="G66" s="51" t="s">
        <v>39</v>
      </c>
      <c r="H66" s="51" t="s">
        <v>1</v>
      </c>
      <c r="I66" s="51">
        <v>1</v>
      </c>
      <c r="J66" s="46">
        <v>300</v>
      </c>
      <c r="K66" s="51">
        <f>I66*J66</f>
        <v>300</v>
      </c>
      <c r="L66" s="51"/>
      <c r="M66" s="47"/>
      <c r="N66" s="48">
        <f t="shared" si="12"/>
        <v>28.7684</v>
      </c>
      <c r="O66" s="48">
        <f t="shared" si="13"/>
        <v>431.526</v>
      </c>
      <c r="P66" s="58">
        <f t="shared" si="14"/>
        <v>0</v>
      </c>
      <c r="Q66" s="58" t="e">
        <f t="shared" si="2"/>
        <v>#DIV/0!</v>
      </c>
      <c r="R66" s="58">
        <f t="shared" si="3"/>
        <v>0</v>
      </c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s="3" customFormat="1" ht="12.75">
      <c r="A67" s="53" t="s">
        <v>7</v>
      </c>
      <c r="B67" s="54"/>
      <c r="C67" s="55" t="s">
        <v>1</v>
      </c>
      <c r="D67" s="54"/>
      <c r="E67" s="56"/>
      <c r="F67" s="56">
        <f>SUM(F60:F66)</f>
        <v>1326</v>
      </c>
      <c r="G67" s="54"/>
      <c r="H67" s="54"/>
      <c r="I67" s="54"/>
      <c r="J67" s="54"/>
      <c r="K67" s="54">
        <f>SUM(K60:K66)</f>
        <v>300</v>
      </c>
      <c r="L67" s="67">
        <f>F67+K67</f>
        <v>1626</v>
      </c>
      <c r="M67" s="48">
        <f>расчет!E17</f>
        <v>72.56899999999999</v>
      </c>
      <c r="N67" s="48">
        <f t="shared" si="12"/>
        <v>1907.34492</v>
      </c>
      <c r="O67" s="48">
        <f t="shared" si="13"/>
        <v>431.526</v>
      </c>
      <c r="P67" s="58">
        <f t="shared" si="14"/>
        <v>117997.19399999997</v>
      </c>
      <c r="Q67" s="58">
        <f t="shared" si="2"/>
        <v>2338.8709200000003</v>
      </c>
      <c r="R67" s="58">
        <f t="shared" si="3"/>
        <v>169729.52379347998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s="4" customFormat="1" ht="12.75">
      <c r="A68" s="59"/>
      <c r="B68" s="61"/>
      <c r="C68" s="68"/>
      <c r="D68" s="61"/>
      <c r="E68" s="62"/>
      <c r="F68" s="62"/>
      <c r="G68" s="61"/>
      <c r="H68" s="61"/>
      <c r="I68" s="61"/>
      <c r="J68" s="61"/>
      <c r="K68" s="61"/>
      <c r="L68" s="69"/>
      <c r="M68" s="42"/>
      <c r="N68" s="48">
        <f t="shared" si="12"/>
        <v>0</v>
      </c>
      <c r="O68" s="48">
        <f t="shared" si="13"/>
        <v>0</v>
      </c>
      <c r="P68" s="58">
        <f t="shared" si="14"/>
        <v>0</v>
      </c>
      <c r="Q68" s="58" t="e">
        <f t="shared" si="2"/>
        <v>#DIV/0!</v>
      </c>
      <c r="R68" s="58">
        <f t="shared" si="3"/>
        <v>0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s="6" customFormat="1" ht="15.75">
      <c r="A69" s="41" t="s">
        <v>40</v>
      </c>
      <c r="B69" s="65" t="s">
        <v>10</v>
      </c>
      <c r="C69" s="42"/>
      <c r="D69" s="42"/>
      <c r="E69" s="44"/>
      <c r="F69" s="45"/>
      <c r="G69" s="65" t="s">
        <v>5</v>
      </c>
      <c r="H69" s="42"/>
      <c r="I69" s="42"/>
      <c r="J69" s="46"/>
      <c r="K69" s="42"/>
      <c r="L69" s="42"/>
      <c r="M69" s="42"/>
      <c r="N69" s="48">
        <f t="shared" si="12"/>
        <v>0</v>
      </c>
      <c r="O69" s="48">
        <f t="shared" si="13"/>
        <v>0</v>
      </c>
      <c r="P69" s="58">
        <f t="shared" si="14"/>
        <v>0</v>
      </c>
      <c r="Q69" s="58" t="e">
        <f t="shared" si="2"/>
        <v>#DIV/0!</v>
      </c>
      <c r="R69" s="58">
        <f t="shared" si="3"/>
        <v>0</v>
      </c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5">
      <c r="A70" s="50"/>
      <c r="B70" s="70"/>
      <c r="C70" s="51" t="s">
        <v>1</v>
      </c>
      <c r="D70" s="51"/>
      <c r="E70" s="44"/>
      <c r="F70" s="52"/>
      <c r="G70" s="51"/>
      <c r="H70" s="51"/>
      <c r="I70" s="51"/>
      <c r="J70" s="46"/>
      <c r="K70" s="51"/>
      <c r="L70" s="51"/>
      <c r="M70" s="47"/>
      <c r="N70" s="48">
        <f t="shared" si="12"/>
        <v>0</v>
      </c>
      <c r="O70" s="48">
        <f t="shared" si="13"/>
        <v>0</v>
      </c>
      <c r="P70" s="58">
        <f t="shared" si="14"/>
        <v>0</v>
      </c>
      <c r="Q70" s="58" t="e">
        <f t="shared" si="2"/>
        <v>#DIV/0!</v>
      </c>
      <c r="R70" s="58">
        <f t="shared" si="3"/>
        <v>0</v>
      </c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5">
      <c r="A71" s="50"/>
      <c r="B71" s="64" t="s">
        <v>34</v>
      </c>
      <c r="C71" s="51" t="s">
        <v>0</v>
      </c>
      <c r="D71" s="86">
        <v>0.028</v>
      </c>
      <c r="E71" s="44">
        <v>12000</v>
      </c>
      <c r="F71" s="52">
        <f>D71*E71</f>
        <v>336</v>
      </c>
      <c r="G71" s="51"/>
      <c r="H71" s="51"/>
      <c r="I71" s="51"/>
      <c r="J71" s="46"/>
      <c r="K71" s="51"/>
      <c r="L71" s="51"/>
      <c r="M71" s="47"/>
      <c r="N71" s="48">
        <f t="shared" si="12"/>
        <v>483.30912</v>
      </c>
      <c r="O71" s="48">
        <f t="shared" si="13"/>
        <v>0</v>
      </c>
      <c r="P71" s="58">
        <f t="shared" si="14"/>
        <v>0</v>
      </c>
      <c r="Q71" s="58" t="e">
        <f t="shared" si="2"/>
        <v>#DIV/0!</v>
      </c>
      <c r="R71" s="58">
        <f t="shared" si="3"/>
        <v>0</v>
      </c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5">
      <c r="A72" s="50"/>
      <c r="B72" s="51" t="s">
        <v>3</v>
      </c>
      <c r="C72" s="51" t="s">
        <v>0</v>
      </c>
      <c r="D72" s="86">
        <f>0.07*0.15*10/7</f>
        <v>0.015000000000000001</v>
      </c>
      <c r="E72" s="44">
        <v>5500</v>
      </c>
      <c r="F72" s="52">
        <f aca="true" t="shared" si="16" ref="F72:F77">D72*E72</f>
        <v>82.5</v>
      </c>
      <c r="G72" s="51"/>
      <c r="H72" s="51"/>
      <c r="I72" s="51"/>
      <c r="J72" s="46"/>
      <c r="K72" s="51"/>
      <c r="L72" s="51"/>
      <c r="M72" s="47"/>
      <c r="N72" s="48">
        <f t="shared" si="12"/>
        <v>118.66965</v>
      </c>
      <c r="O72" s="48">
        <f t="shared" si="13"/>
        <v>0</v>
      </c>
      <c r="P72" s="58">
        <f t="shared" si="14"/>
        <v>0</v>
      </c>
      <c r="Q72" s="58" t="e">
        <f t="shared" si="2"/>
        <v>#DIV/0!</v>
      </c>
      <c r="R72" s="58">
        <f t="shared" si="3"/>
        <v>0</v>
      </c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5">
      <c r="A73" s="50"/>
      <c r="B73" s="51" t="s">
        <v>35</v>
      </c>
      <c r="C73" s="51" t="s">
        <v>0</v>
      </c>
      <c r="D73" s="86">
        <v>0</v>
      </c>
      <c r="E73" s="44">
        <v>1500</v>
      </c>
      <c r="F73" s="52">
        <f t="shared" si="16"/>
        <v>0</v>
      </c>
      <c r="G73" s="51"/>
      <c r="H73" s="51"/>
      <c r="I73" s="51"/>
      <c r="J73" s="46"/>
      <c r="K73" s="51"/>
      <c r="L73" s="51"/>
      <c r="M73" s="47"/>
      <c r="N73" s="48">
        <f t="shared" si="12"/>
        <v>0</v>
      </c>
      <c r="O73" s="48">
        <f t="shared" si="13"/>
        <v>0</v>
      </c>
      <c r="P73" s="58">
        <f t="shared" si="14"/>
        <v>0</v>
      </c>
      <c r="Q73" s="58" t="e">
        <f t="shared" si="2"/>
        <v>#DIV/0!</v>
      </c>
      <c r="R73" s="58">
        <f t="shared" si="3"/>
        <v>0</v>
      </c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5">
      <c r="A74" s="50"/>
      <c r="B74" s="51" t="s">
        <v>36</v>
      </c>
      <c r="C74" s="51" t="s">
        <v>1</v>
      </c>
      <c r="D74" s="86">
        <v>0</v>
      </c>
      <c r="E74" s="44">
        <v>35</v>
      </c>
      <c r="F74" s="52">
        <f t="shared" si="16"/>
        <v>0</v>
      </c>
      <c r="G74" s="51"/>
      <c r="H74" s="51"/>
      <c r="I74" s="51"/>
      <c r="J74" s="46"/>
      <c r="K74" s="51"/>
      <c r="L74" s="51"/>
      <c r="M74" s="47"/>
      <c r="N74" s="48">
        <f t="shared" si="12"/>
        <v>0</v>
      </c>
      <c r="O74" s="48">
        <f t="shared" si="13"/>
        <v>0</v>
      </c>
      <c r="P74" s="58">
        <f t="shared" si="14"/>
        <v>0</v>
      </c>
      <c r="Q74" s="58" t="e">
        <f t="shared" si="2"/>
        <v>#DIV/0!</v>
      </c>
      <c r="R74" s="58">
        <f t="shared" si="3"/>
        <v>0</v>
      </c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5">
      <c r="A75" s="50"/>
      <c r="B75" s="51" t="s">
        <v>41</v>
      </c>
      <c r="C75" s="51" t="s">
        <v>0</v>
      </c>
      <c r="D75" s="86">
        <v>0.0125</v>
      </c>
      <c r="E75" s="44">
        <v>14000</v>
      </c>
      <c r="F75" s="52">
        <f t="shared" si="16"/>
        <v>175</v>
      </c>
      <c r="G75" s="51"/>
      <c r="H75" s="51"/>
      <c r="I75" s="51"/>
      <c r="J75" s="46"/>
      <c r="K75" s="51"/>
      <c r="L75" s="51"/>
      <c r="M75" s="47"/>
      <c r="N75" s="48">
        <f t="shared" si="12"/>
        <v>251.7235</v>
      </c>
      <c r="O75" s="48">
        <f t="shared" si="13"/>
        <v>0</v>
      </c>
      <c r="P75" s="58">
        <f t="shared" si="14"/>
        <v>0</v>
      </c>
      <c r="Q75" s="58" t="e">
        <f t="shared" si="2"/>
        <v>#DIV/0!</v>
      </c>
      <c r="R75" s="58">
        <f t="shared" si="3"/>
        <v>0</v>
      </c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5">
      <c r="A76" s="50"/>
      <c r="B76" s="42" t="s">
        <v>38</v>
      </c>
      <c r="C76" s="42" t="s">
        <v>22</v>
      </c>
      <c r="D76" s="86">
        <v>0</v>
      </c>
      <c r="E76" s="44">
        <v>40</v>
      </c>
      <c r="F76" s="52">
        <f t="shared" si="16"/>
        <v>0</v>
      </c>
      <c r="G76" s="51"/>
      <c r="H76" s="51"/>
      <c r="I76" s="51"/>
      <c r="J76" s="46"/>
      <c r="K76" s="51"/>
      <c r="L76" s="51"/>
      <c r="M76" s="47"/>
      <c r="N76" s="48">
        <f t="shared" si="12"/>
        <v>0</v>
      </c>
      <c r="O76" s="48">
        <f t="shared" si="13"/>
        <v>0</v>
      </c>
      <c r="P76" s="58">
        <f t="shared" si="14"/>
        <v>0</v>
      </c>
      <c r="Q76" s="58" t="e">
        <f t="shared" si="2"/>
        <v>#DIV/0!</v>
      </c>
      <c r="R76" s="58">
        <f t="shared" si="3"/>
        <v>0</v>
      </c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5">
      <c r="A77" s="50"/>
      <c r="B77" s="51" t="s">
        <v>23</v>
      </c>
      <c r="C77" s="51" t="s">
        <v>2</v>
      </c>
      <c r="D77" s="51">
        <f>10/7*1/0.08*2</f>
        <v>35.714285714285715</v>
      </c>
      <c r="E77" s="44">
        <v>0.7</v>
      </c>
      <c r="F77" s="52">
        <f t="shared" si="16"/>
        <v>25</v>
      </c>
      <c r="G77" s="51" t="s">
        <v>42</v>
      </c>
      <c r="H77" s="51" t="s">
        <v>1</v>
      </c>
      <c r="I77" s="51">
        <v>1</v>
      </c>
      <c r="J77" s="46">
        <v>300</v>
      </c>
      <c r="K77" s="51">
        <f>I77*J77</f>
        <v>300</v>
      </c>
      <c r="L77" s="51"/>
      <c r="M77" s="47"/>
      <c r="N77" s="48">
        <f t="shared" si="12"/>
        <v>35.9605</v>
      </c>
      <c r="O77" s="48">
        <f t="shared" si="13"/>
        <v>431.526</v>
      </c>
      <c r="P77" s="58">
        <f t="shared" si="14"/>
        <v>0</v>
      </c>
      <c r="Q77" s="58" t="e">
        <f t="shared" si="2"/>
        <v>#DIV/0!</v>
      </c>
      <c r="R77" s="58">
        <f t="shared" si="3"/>
        <v>0</v>
      </c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s="3" customFormat="1" ht="12.75">
      <c r="A78" s="53" t="s">
        <v>7</v>
      </c>
      <c r="B78" s="54"/>
      <c r="C78" s="55" t="s">
        <v>1</v>
      </c>
      <c r="D78" s="54"/>
      <c r="E78" s="56"/>
      <c r="F78" s="56">
        <f>SUM(F71:F77)</f>
        <v>618.5</v>
      </c>
      <c r="G78" s="54"/>
      <c r="H78" s="54"/>
      <c r="I78" s="54"/>
      <c r="J78" s="54"/>
      <c r="K78" s="54">
        <f>SUM(K71:K77)</f>
        <v>300</v>
      </c>
      <c r="L78" s="67">
        <f>F78+K78</f>
        <v>918.5</v>
      </c>
      <c r="M78" s="48">
        <f>расчет!E18</f>
        <v>88.41699999999999</v>
      </c>
      <c r="N78" s="48">
        <f t="shared" si="12"/>
        <v>889.66277</v>
      </c>
      <c r="O78" s="48">
        <f t="shared" si="13"/>
        <v>431.526</v>
      </c>
      <c r="P78" s="58">
        <f t="shared" si="14"/>
        <v>81211.01449999999</v>
      </c>
      <c r="Q78" s="58">
        <f t="shared" si="2"/>
        <v>1321.18877</v>
      </c>
      <c r="R78" s="58">
        <f t="shared" si="3"/>
        <v>116815.54747708999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s="4" customFormat="1" ht="12.75">
      <c r="A79" s="59"/>
      <c r="B79" s="61"/>
      <c r="C79" s="68"/>
      <c r="D79" s="61"/>
      <c r="E79" s="62"/>
      <c r="F79" s="62"/>
      <c r="G79" s="61"/>
      <c r="H79" s="61"/>
      <c r="I79" s="61"/>
      <c r="J79" s="61"/>
      <c r="K79" s="61"/>
      <c r="L79" s="69"/>
      <c r="M79" s="42"/>
      <c r="N79" s="48">
        <f t="shared" si="12"/>
        <v>0</v>
      </c>
      <c r="O79" s="48">
        <f t="shared" si="13"/>
        <v>0</v>
      </c>
      <c r="P79" s="58">
        <f t="shared" si="14"/>
        <v>0</v>
      </c>
      <c r="Q79" s="58" t="e">
        <f t="shared" si="2"/>
        <v>#DIV/0!</v>
      </c>
      <c r="R79" s="58">
        <f t="shared" si="3"/>
        <v>0</v>
      </c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s="6" customFormat="1" ht="15.75">
      <c r="A80" s="41" t="s">
        <v>43</v>
      </c>
      <c r="B80" s="43"/>
      <c r="C80" s="42" t="s">
        <v>1</v>
      </c>
      <c r="D80" s="42"/>
      <c r="E80" s="44"/>
      <c r="F80" s="45"/>
      <c r="G80" s="42"/>
      <c r="H80" s="42"/>
      <c r="I80" s="42"/>
      <c r="J80" s="46"/>
      <c r="K80" s="42"/>
      <c r="L80" s="42"/>
      <c r="M80" s="42"/>
      <c r="N80" s="48">
        <f t="shared" si="12"/>
        <v>0</v>
      </c>
      <c r="O80" s="48">
        <f t="shared" si="13"/>
        <v>0</v>
      </c>
      <c r="P80" s="58">
        <f t="shared" si="14"/>
        <v>0</v>
      </c>
      <c r="Q80" s="58" t="e">
        <f t="shared" si="2"/>
        <v>#DIV/0!</v>
      </c>
      <c r="R80" s="58">
        <f t="shared" si="3"/>
        <v>0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5">
      <c r="A81" s="50"/>
      <c r="B81" s="64" t="s">
        <v>41</v>
      </c>
      <c r="C81" s="51" t="s">
        <v>0</v>
      </c>
      <c r="D81" s="86">
        <v>0.012</v>
      </c>
      <c r="E81" s="44">
        <v>13500</v>
      </c>
      <c r="F81" s="52">
        <f aca="true" t="shared" si="17" ref="F81:F86">D81*E81</f>
        <v>162</v>
      </c>
      <c r="G81" s="51"/>
      <c r="H81" s="51"/>
      <c r="I81" s="51"/>
      <c r="J81" s="46"/>
      <c r="K81" s="51"/>
      <c r="L81" s="51"/>
      <c r="M81" s="47"/>
      <c r="N81" s="48">
        <f t="shared" si="12"/>
        <v>233.02404</v>
      </c>
      <c r="O81" s="48">
        <f t="shared" si="13"/>
        <v>0</v>
      </c>
      <c r="P81" s="58">
        <f t="shared" si="14"/>
        <v>0</v>
      </c>
      <c r="Q81" s="58" t="e">
        <f t="shared" si="2"/>
        <v>#DIV/0!</v>
      </c>
      <c r="R81" s="58">
        <f t="shared" si="3"/>
        <v>0</v>
      </c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5">
      <c r="A82" s="50"/>
      <c r="B82" s="51" t="s">
        <v>3</v>
      </c>
      <c r="C82" s="51" t="s">
        <v>0</v>
      </c>
      <c r="D82" s="86">
        <f>0.05*0.05*2</f>
        <v>0.005000000000000001</v>
      </c>
      <c r="E82" s="44">
        <v>6000</v>
      </c>
      <c r="F82" s="52">
        <f t="shared" si="17"/>
        <v>30.000000000000007</v>
      </c>
      <c r="G82" s="51"/>
      <c r="H82" s="51"/>
      <c r="I82" s="51"/>
      <c r="J82" s="46"/>
      <c r="K82" s="51"/>
      <c r="L82" s="51"/>
      <c r="M82" s="47"/>
      <c r="N82" s="48">
        <f t="shared" si="12"/>
        <v>43.152600000000014</v>
      </c>
      <c r="O82" s="48">
        <f t="shared" si="13"/>
        <v>0</v>
      </c>
      <c r="P82" s="58">
        <f t="shared" si="14"/>
        <v>0</v>
      </c>
      <c r="Q82" s="58" t="e">
        <f t="shared" si="2"/>
        <v>#DIV/0!</v>
      </c>
      <c r="R82" s="58">
        <f t="shared" si="3"/>
        <v>0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5">
      <c r="A83" s="50"/>
      <c r="B83" s="51" t="s">
        <v>35</v>
      </c>
      <c r="C83" s="51" t="s">
        <v>0</v>
      </c>
      <c r="D83" s="86">
        <v>0</v>
      </c>
      <c r="E83" s="44">
        <v>1500</v>
      </c>
      <c r="F83" s="52">
        <f t="shared" si="17"/>
        <v>0</v>
      </c>
      <c r="G83" s="51"/>
      <c r="H83" s="51"/>
      <c r="I83" s="51"/>
      <c r="J83" s="46"/>
      <c r="K83" s="51"/>
      <c r="L83" s="51"/>
      <c r="M83" s="47"/>
      <c r="N83" s="48">
        <f t="shared" si="12"/>
        <v>0</v>
      </c>
      <c r="O83" s="48">
        <f t="shared" si="13"/>
        <v>0</v>
      </c>
      <c r="P83" s="58">
        <f t="shared" si="14"/>
        <v>0</v>
      </c>
      <c r="Q83" s="58" t="e">
        <f t="shared" si="2"/>
        <v>#DIV/0!</v>
      </c>
      <c r="R83" s="58">
        <f t="shared" si="3"/>
        <v>0</v>
      </c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5">
      <c r="A84" s="50"/>
      <c r="B84" s="51" t="s">
        <v>36</v>
      </c>
      <c r="C84" s="51" t="s">
        <v>1</v>
      </c>
      <c r="D84" s="86">
        <v>0</v>
      </c>
      <c r="E84" s="44">
        <v>35</v>
      </c>
      <c r="F84" s="52">
        <f t="shared" si="17"/>
        <v>0</v>
      </c>
      <c r="G84" s="51"/>
      <c r="H84" s="51"/>
      <c r="I84" s="51"/>
      <c r="J84" s="46"/>
      <c r="K84" s="51"/>
      <c r="L84" s="51"/>
      <c r="M84" s="47"/>
      <c r="N84" s="48">
        <f t="shared" si="12"/>
        <v>0</v>
      </c>
      <c r="O84" s="48">
        <f t="shared" si="13"/>
        <v>0</v>
      </c>
      <c r="P84" s="58">
        <f t="shared" si="14"/>
        <v>0</v>
      </c>
      <c r="Q84" s="58" t="e">
        <f t="shared" si="2"/>
        <v>#DIV/0!</v>
      </c>
      <c r="R84" s="58">
        <f t="shared" si="3"/>
        <v>0</v>
      </c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5">
      <c r="A85" s="50"/>
      <c r="B85" s="51" t="s">
        <v>41</v>
      </c>
      <c r="C85" s="51" t="s">
        <v>0</v>
      </c>
      <c r="D85" s="86">
        <v>0.012</v>
      </c>
      <c r="E85" s="44">
        <v>13500</v>
      </c>
      <c r="F85" s="52">
        <f t="shared" si="17"/>
        <v>162</v>
      </c>
      <c r="G85" s="51"/>
      <c r="H85" s="51"/>
      <c r="I85" s="51"/>
      <c r="J85" s="46"/>
      <c r="K85" s="51"/>
      <c r="L85" s="51"/>
      <c r="M85" s="47"/>
      <c r="N85" s="48">
        <f t="shared" si="12"/>
        <v>233.02404</v>
      </c>
      <c r="O85" s="48">
        <f t="shared" si="13"/>
        <v>0</v>
      </c>
      <c r="P85" s="58">
        <f t="shared" si="14"/>
        <v>0</v>
      </c>
      <c r="Q85" s="58" t="e">
        <f aca="true" t="shared" si="18" ref="Q85:Q148">R85/M85</f>
        <v>#DIV/0!</v>
      </c>
      <c r="R85" s="58">
        <f aca="true" t="shared" si="19" ref="R85:R148">P85*$M$273</f>
        <v>0</v>
      </c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5">
      <c r="A86" s="50"/>
      <c r="B86" s="51" t="s">
        <v>23</v>
      </c>
      <c r="C86" s="51" t="s">
        <v>2</v>
      </c>
      <c r="D86" s="51">
        <f>2*1/0.08*2</f>
        <v>50</v>
      </c>
      <c r="E86" s="44">
        <v>0.7</v>
      </c>
      <c r="F86" s="52">
        <f t="shared" si="17"/>
        <v>35</v>
      </c>
      <c r="G86" s="51" t="s">
        <v>44</v>
      </c>
      <c r="H86" s="51" t="s">
        <v>1</v>
      </c>
      <c r="I86" s="51">
        <v>1</v>
      </c>
      <c r="J86" s="46">
        <v>300</v>
      </c>
      <c r="K86" s="51">
        <f>I86*J86</f>
        <v>300</v>
      </c>
      <c r="L86" s="51"/>
      <c r="M86" s="47"/>
      <c r="N86" s="48">
        <f t="shared" si="12"/>
        <v>50.3447</v>
      </c>
      <c r="O86" s="48">
        <f t="shared" si="13"/>
        <v>431.526</v>
      </c>
      <c r="P86" s="58">
        <f t="shared" si="14"/>
        <v>0</v>
      </c>
      <c r="Q86" s="58" t="e">
        <f t="shared" si="18"/>
        <v>#DIV/0!</v>
      </c>
      <c r="R86" s="58">
        <f t="shared" si="19"/>
        <v>0</v>
      </c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s="3" customFormat="1" ht="12.75">
      <c r="A87" s="53" t="s">
        <v>7</v>
      </c>
      <c r="B87" s="54"/>
      <c r="C87" s="55" t="s">
        <v>1</v>
      </c>
      <c r="D87" s="54"/>
      <c r="E87" s="56"/>
      <c r="F87" s="56">
        <f>SUM(F81:F86)</f>
        <v>389</v>
      </c>
      <c r="G87" s="54"/>
      <c r="H87" s="54"/>
      <c r="I87" s="54"/>
      <c r="J87" s="54"/>
      <c r="K87" s="54">
        <f>SUM(K81:K86)</f>
        <v>300</v>
      </c>
      <c r="L87" s="67">
        <f>F87+K87</f>
        <v>689</v>
      </c>
      <c r="M87" s="48">
        <f>расчет!E16</f>
        <v>108.01399999999998</v>
      </c>
      <c r="N87" s="48">
        <f t="shared" si="12"/>
        <v>559.54538</v>
      </c>
      <c r="O87" s="48">
        <f t="shared" si="13"/>
        <v>431.526</v>
      </c>
      <c r="P87" s="58">
        <f t="shared" si="14"/>
        <v>74421.646</v>
      </c>
      <c r="Q87" s="58">
        <f t="shared" si="18"/>
        <v>991.0713800000001</v>
      </c>
      <c r="R87" s="58">
        <f t="shared" si="19"/>
        <v>107049.58403931999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s="4" customFormat="1" ht="12.75">
      <c r="A88" s="59"/>
      <c r="B88" s="61"/>
      <c r="C88" s="68"/>
      <c r="D88" s="61"/>
      <c r="E88" s="62"/>
      <c r="F88" s="62"/>
      <c r="G88" s="61"/>
      <c r="H88" s="61"/>
      <c r="I88" s="61"/>
      <c r="J88" s="61"/>
      <c r="K88" s="61"/>
      <c r="L88" s="69"/>
      <c r="M88" s="42">
        <v>0</v>
      </c>
      <c r="N88" s="48">
        <f t="shared" si="12"/>
        <v>0</v>
      </c>
      <c r="O88" s="48">
        <f t="shared" si="13"/>
        <v>0</v>
      </c>
      <c r="P88" s="58">
        <f t="shared" si="14"/>
        <v>0</v>
      </c>
      <c r="Q88" s="58" t="e">
        <f t="shared" si="18"/>
        <v>#DIV/0!</v>
      </c>
      <c r="R88" s="58">
        <f t="shared" si="19"/>
        <v>0</v>
      </c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6" customFormat="1" ht="15.75" hidden="1">
      <c r="A89" s="41" t="s">
        <v>45</v>
      </c>
      <c r="B89" s="43"/>
      <c r="C89" s="42" t="s">
        <v>1</v>
      </c>
      <c r="D89" s="42"/>
      <c r="E89" s="45"/>
      <c r="F89" s="45"/>
      <c r="G89" s="42"/>
      <c r="H89" s="42"/>
      <c r="I89" s="42"/>
      <c r="J89" s="46"/>
      <c r="K89" s="42"/>
      <c r="L89" s="42"/>
      <c r="M89" s="42"/>
      <c r="N89" s="48">
        <f t="shared" si="12"/>
        <v>0</v>
      </c>
      <c r="O89" s="48">
        <f t="shared" si="13"/>
        <v>0</v>
      </c>
      <c r="P89" s="58">
        <f t="shared" si="14"/>
        <v>0</v>
      </c>
      <c r="Q89" s="58" t="e">
        <f t="shared" si="18"/>
        <v>#DIV/0!</v>
      </c>
      <c r="R89" s="58">
        <f t="shared" si="19"/>
        <v>0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5" hidden="1">
      <c r="A90" s="50" t="s">
        <v>46</v>
      </c>
      <c r="B90" s="64" t="s">
        <v>47</v>
      </c>
      <c r="C90" s="51" t="s">
        <v>1</v>
      </c>
      <c r="D90" s="51">
        <v>1</v>
      </c>
      <c r="E90" s="44">
        <v>330</v>
      </c>
      <c r="F90" s="52">
        <f>D90*E90</f>
        <v>330</v>
      </c>
      <c r="G90" s="51"/>
      <c r="H90" s="51"/>
      <c r="I90" s="51"/>
      <c r="J90" s="46"/>
      <c r="K90" s="51"/>
      <c r="L90" s="51"/>
      <c r="M90" s="47"/>
      <c r="N90" s="48">
        <f t="shared" si="12"/>
        <v>474.6786</v>
      </c>
      <c r="O90" s="48">
        <f t="shared" si="13"/>
        <v>0</v>
      </c>
      <c r="P90" s="58">
        <f t="shared" si="14"/>
        <v>0</v>
      </c>
      <c r="Q90" s="58" t="e">
        <f t="shared" si="18"/>
        <v>#DIV/0!</v>
      </c>
      <c r="R90" s="58">
        <f t="shared" si="19"/>
        <v>0</v>
      </c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5" hidden="1">
      <c r="A91" s="50"/>
      <c r="B91" s="42" t="s">
        <v>48</v>
      </c>
      <c r="C91" s="42" t="s">
        <v>1</v>
      </c>
      <c r="D91" s="51">
        <v>1</v>
      </c>
      <c r="E91" s="44">
        <f>E90*0.4</f>
        <v>132</v>
      </c>
      <c r="F91" s="52">
        <f>D91*E91</f>
        <v>132</v>
      </c>
      <c r="G91" s="51"/>
      <c r="H91" s="51"/>
      <c r="I91" s="51"/>
      <c r="J91" s="46"/>
      <c r="K91" s="51"/>
      <c r="L91" s="51"/>
      <c r="M91" s="47"/>
      <c r="N91" s="48">
        <f t="shared" si="12"/>
        <v>189.87144</v>
      </c>
      <c r="O91" s="48">
        <f t="shared" si="13"/>
        <v>0</v>
      </c>
      <c r="P91" s="58">
        <f t="shared" si="14"/>
        <v>0</v>
      </c>
      <c r="Q91" s="58" t="e">
        <f t="shared" si="18"/>
        <v>#DIV/0!</v>
      </c>
      <c r="R91" s="58">
        <f t="shared" si="19"/>
        <v>0</v>
      </c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5" hidden="1">
      <c r="A92" s="50"/>
      <c r="B92" s="64" t="s">
        <v>49</v>
      </c>
      <c r="C92" s="42" t="s">
        <v>1</v>
      </c>
      <c r="D92" s="51">
        <v>1</v>
      </c>
      <c r="E92" s="44">
        <v>160</v>
      </c>
      <c r="F92" s="52">
        <f>D92*E92</f>
        <v>160</v>
      </c>
      <c r="G92" s="51"/>
      <c r="H92" s="51"/>
      <c r="I92" s="51"/>
      <c r="J92" s="46"/>
      <c r="K92" s="51"/>
      <c r="L92" s="51"/>
      <c r="M92" s="47"/>
      <c r="N92" s="48">
        <f t="shared" si="12"/>
        <v>230.1472</v>
      </c>
      <c r="O92" s="48">
        <f t="shared" si="13"/>
        <v>0</v>
      </c>
      <c r="P92" s="58">
        <f t="shared" si="14"/>
        <v>0</v>
      </c>
      <c r="Q92" s="58" t="e">
        <f t="shared" si="18"/>
        <v>#DIV/0!</v>
      </c>
      <c r="R92" s="58">
        <f t="shared" si="19"/>
        <v>0</v>
      </c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5" hidden="1">
      <c r="A93" s="50"/>
      <c r="B93" s="51" t="s">
        <v>50</v>
      </c>
      <c r="C93" s="51" t="s">
        <v>0</v>
      </c>
      <c r="D93" s="51">
        <f>0.1*0.2</f>
        <v>0.020000000000000004</v>
      </c>
      <c r="E93" s="44">
        <v>6000</v>
      </c>
      <c r="F93" s="52">
        <f aca="true" t="shared" si="20" ref="F93:F101">D93*E93</f>
        <v>120.00000000000003</v>
      </c>
      <c r="G93" s="51"/>
      <c r="H93" s="51"/>
      <c r="I93" s="51"/>
      <c r="J93" s="46"/>
      <c r="K93" s="51"/>
      <c r="L93" s="51"/>
      <c r="M93" s="47"/>
      <c r="N93" s="48">
        <f t="shared" si="12"/>
        <v>172.61040000000006</v>
      </c>
      <c r="O93" s="48">
        <f t="shared" si="13"/>
        <v>0</v>
      </c>
      <c r="P93" s="58">
        <f t="shared" si="14"/>
        <v>0</v>
      </c>
      <c r="Q93" s="58" t="e">
        <f t="shared" si="18"/>
        <v>#DIV/0!</v>
      </c>
      <c r="R93" s="58">
        <f t="shared" si="19"/>
        <v>0</v>
      </c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5" hidden="1">
      <c r="A94" s="50"/>
      <c r="B94" s="42" t="s">
        <v>51</v>
      </c>
      <c r="C94" s="42" t="s">
        <v>0</v>
      </c>
      <c r="D94" s="51">
        <f>0.025*0.7</f>
        <v>0.017499999999999998</v>
      </c>
      <c r="E94" s="44">
        <v>5000</v>
      </c>
      <c r="F94" s="52">
        <f t="shared" si="20"/>
        <v>87.49999999999999</v>
      </c>
      <c r="G94" s="51" t="s">
        <v>52</v>
      </c>
      <c r="H94" s="51" t="s">
        <v>1</v>
      </c>
      <c r="I94" s="51">
        <v>1</v>
      </c>
      <c r="J94" s="46">
        <v>350</v>
      </c>
      <c r="K94" s="51">
        <f>I94*J94</f>
        <v>350</v>
      </c>
      <c r="L94" s="51"/>
      <c r="M94" s="47"/>
      <c r="N94" s="48">
        <f t="shared" si="12"/>
        <v>125.86174999999999</v>
      </c>
      <c r="O94" s="48">
        <f t="shared" si="13"/>
        <v>503.447</v>
      </c>
      <c r="P94" s="58">
        <f t="shared" si="14"/>
        <v>0</v>
      </c>
      <c r="Q94" s="58" t="e">
        <f t="shared" si="18"/>
        <v>#DIV/0!</v>
      </c>
      <c r="R94" s="58">
        <f t="shared" si="19"/>
        <v>0</v>
      </c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5" hidden="1">
      <c r="A95" s="53" t="s">
        <v>53</v>
      </c>
      <c r="B95" s="54"/>
      <c r="C95" s="54"/>
      <c r="D95" s="54"/>
      <c r="E95" s="56"/>
      <c r="F95" s="56">
        <f>SUM(F90:F94)</f>
        <v>829.5</v>
      </c>
      <c r="G95" s="54"/>
      <c r="H95" s="54"/>
      <c r="I95" s="54"/>
      <c r="J95" s="54"/>
      <c r="K95" s="54">
        <f>SUM(K90:K94)</f>
        <v>350</v>
      </c>
      <c r="L95" s="67">
        <f>F95+K95</f>
        <v>1179.5</v>
      </c>
      <c r="M95" s="47">
        <v>0</v>
      </c>
      <c r="N95" s="48">
        <f t="shared" si="12"/>
        <v>1193.16939</v>
      </c>
      <c r="O95" s="48">
        <f t="shared" si="13"/>
        <v>503.447</v>
      </c>
      <c r="P95" s="58">
        <f t="shared" si="14"/>
        <v>0</v>
      </c>
      <c r="Q95" s="58" t="e">
        <f t="shared" si="18"/>
        <v>#DIV/0!</v>
      </c>
      <c r="R95" s="58">
        <f t="shared" si="19"/>
        <v>0</v>
      </c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5" hidden="1">
      <c r="A96" s="50"/>
      <c r="B96" s="42" t="s">
        <v>54</v>
      </c>
      <c r="C96" s="42" t="s">
        <v>0</v>
      </c>
      <c r="D96" s="51">
        <f>2*0.04*0.04</f>
        <v>0.0032</v>
      </c>
      <c r="E96" s="44">
        <v>5500</v>
      </c>
      <c r="F96" s="52">
        <f t="shared" si="20"/>
        <v>17.6</v>
      </c>
      <c r="G96" s="51"/>
      <c r="H96" s="51"/>
      <c r="I96" s="51"/>
      <c r="J96" s="46"/>
      <c r="K96" s="51"/>
      <c r="L96" s="51"/>
      <c r="M96" s="47"/>
      <c r="N96" s="48">
        <f t="shared" si="12"/>
        <v>25.316192</v>
      </c>
      <c r="O96" s="48">
        <f t="shared" si="13"/>
        <v>0</v>
      </c>
      <c r="P96" s="58">
        <f t="shared" si="14"/>
        <v>0</v>
      </c>
      <c r="Q96" s="58" t="e">
        <f t="shared" si="18"/>
        <v>#DIV/0!</v>
      </c>
      <c r="R96" s="58">
        <f t="shared" si="19"/>
        <v>0</v>
      </c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5" hidden="1">
      <c r="A97" s="50"/>
      <c r="B97" s="51" t="s">
        <v>35</v>
      </c>
      <c r="C97" s="51" t="s">
        <v>0</v>
      </c>
      <c r="D97" s="51">
        <v>0.2</v>
      </c>
      <c r="E97" s="44">
        <v>1500</v>
      </c>
      <c r="F97" s="52">
        <f t="shared" si="20"/>
        <v>300</v>
      </c>
      <c r="G97" s="51"/>
      <c r="H97" s="51"/>
      <c r="I97" s="51"/>
      <c r="J97" s="46"/>
      <c r="K97" s="51"/>
      <c r="L97" s="51"/>
      <c r="M97" s="47"/>
      <c r="N97" s="48">
        <f t="shared" si="12"/>
        <v>431.526</v>
      </c>
      <c r="O97" s="48">
        <f t="shared" si="13"/>
        <v>0</v>
      </c>
      <c r="P97" s="58">
        <f t="shared" si="14"/>
        <v>0</v>
      </c>
      <c r="Q97" s="58" t="e">
        <f t="shared" si="18"/>
        <v>#DIV/0!</v>
      </c>
      <c r="R97" s="58">
        <f t="shared" si="19"/>
        <v>0</v>
      </c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5" hidden="1">
      <c r="A98" s="50"/>
      <c r="B98" s="51" t="s">
        <v>36</v>
      </c>
      <c r="C98" s="51" t="s">
        <v>1</v>
      </c>
      <c r="D98" s="51">
        <v>2</v>
      </c>
      <c r="E98" s="44">
        <v>40</v>
      </c>
      <c r="F98" s="52">
        <f t="shared" si="20"/>
        <v>80</v>
      </c>
      <c r="G98" s="51"/>
      <c r="H98" s="51"/>
      <c r="I98" s="51"/>
      <c r="J98" s="46"/>
      <c r="K98" s="51"/>
      <c r="L98" s="51"/>
      <c r="M98" s="47"/>
      <c r="N98" s="48">
        <f t="shared" si="12"/>
        <v>115.0736</v>
      </c>
      <c r="O98" s="48">
        <f t="shared" si="13"/>
        <v>0</v>
      </c>
      <c r="P98" s="58">
        <f t="shared" si="14"/>
        <v>0</v>
      </c>
      <c r="Q98" s="58" t="e">
        <f t="shared" si="18"/>
        <v>#DIV/0!</v>
      </c>
      <c r="R98" s="58">
        <f t="shared" si="19"/>
        <v>0</v>
      </c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5" hidden="1">
      <c r="A99" s="50"/>
      <c r="B99" s="51" t="s">
        <v>41</v>
      </c>
      <c r="C99" s="51" t="s">
        <v>0</v>
      </c>
      <c r="D99" s="51">
        <v>0.0125</v>
      </c>
      <c r="E99" s="44">
        <v>14000</v>
      </c>
      <c r="F99" s="52">
        <f t="shared" si="20"/>
        <v>175</v>
      </c>
      <c r="G99" s="51" t="s">
        <v>55</v>
      </c>
      <c r="H99" s="51" t="s">
        <v>1</v>
      </c>
      <c r="I99" s="51">
        <v>1</v>
      </c>
      <c r="J99" s="46">
        <v>250</v>
      </c>
      <c r="K99" s="51">
        <f>I99*J99</f>
        <v>250</v>
      </c>
      <c r="L99" s="51"/>
      <c r="M99" s="47"/>
      <c r="N99" s="48">
        <f t="shared" si="12"/>
        <v>251.7235</v>
      </c>
      <c r="O99" s="48">
        <f t="shared" si="13"/>
        <v>359.605</v>
      </c>
      <c r="P99" s="58">
        <f t="shared" si="14"/>
        <v>0</v>
      </c>
      <c r="Q99" s="58" t="e">
        <f t="shared" si="18"/>
        <v>#DIV/0!</v>
      </c>
      <c r="R99" s="58">
        <f t="shared" si="19"/>
        <v>0</v>
      </c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5" hidden="1">
      <c r="A100" s="50"/>
      <c r="B100" s="71" t="s">
        <v>80</v>
      </c>
      <c r="C100" s="42" t="s">
        <v>22</v>
      </c>
      <c r="D100" s="51"/>
      <c r="E100" s="44"/>
      <c r="F100" s="52">
        <v>50</v>
      </c>
      <c r="G100" s="51" t="s">
        <v>81</v>
      </c>
      <c r="H100" s="51"/>
      <c r="I100" s="51"/>
      <c r="J100" s="46"/>
      <c r="K100" s="51">
        <v>50</v>
      </c>
      <c r="L100" s="51"/>
      <c r="M100" s="47"/>
      <c r="N100" s="48">
        <f t="shared" si="12"/>
        <v>71.921</v>
      </c>
      <c r="O100" s="48">
        <f t="shared" si="13"/>
        <v>71.921</v>
      </c>
      <c r="P100" s="58">
        <f t="shared" si="14"/>
        <v>0</v>
      </c>
      <c r="Q100" s="58" t="e">
        <f t="shared" si="18"/>
        <v>#DIV/0!</v>
      </c>
      <c r="R100" s="58">
        <f t="shared" si="19"/>
        <v>0</v>
      </c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5" hidden="1">
      <c r="A101" s="50"/>
      <c r="B101" s="51" t="s">
        <v>23</v>
      </c>
      <c r="C101" s="51" t="s">
        <v>2</v>
      </c>
      <c r="D101" s="51">
        <f>1/0.08*3</f>
        <v>37.5</v>
      </c>
      <c r="E101" s="44">
        <v>1.2</v>
      </c>
      <c r="F101" s="52">
        <f t="shared" si="20"/>
        <v>45</v>
      </c>
      <c r="G101" s="51"/>
      <c r="H101" s="51"/>
      <c r="I101" s="51"/>
      <c r="J101" s="46"/>
      <c r="K101" s="51"/>
      <c r="L101" s="51"/>
      <c r="M101" s="47"/>
      <c r="N101" s="48">
        <f t="shared" si="12"/>
        <v>64.7289</v>
      </c>
      <c r="O101" s="48">
        <f t="shared" si="13"/>
        <v>0</v>
      </c>
      <c r="P101" s="58">
        <f t="shared" si="14"/>
        <v>0</v>
      </c>
      <c r="Q101" s="58" t="e">
        <f t="shared" si="18"/>
        <v>#DIV/0!</v>
      </c>
      <c r="R101" s="58">
        <f t="shared" si="19"/>
        <v>0</v>
      </c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s="3" customFormat="1" ht="12.75" hidden="1">
      <c r="A102" s="53" t="s">
        <v>56</v>
      </c>
      <c r="B102" s="54"/>
      <c r="C102" s="55" t="s">
        <v>1</v>
      </c>
      <c r="D102" s="54"/>
      <c r="E102" s="56"/>
      <c r="F102" s="56">
        <f>SUM(F95:F101)</f>
        <v>1497.1</v>
      </c>
      <c r="G102" s="54"/>
      <c r="H102" s="54"/>
      <c r="I102" s="54"/>
      <c r="J102" s="54"/>
      <c r="K102" s="54">
        <f>SUM(K95:K100)</f>
        <v>650</v>
      </c>
      <c r="L102" s="67">
        <f>F102+K102</f>
        <v>2147.1</v>
      </c>
      <c r="M102" s="54">
        <v>0</v>
      </c>
      <c r="N102" s="48">
        <f t="shared" si="12"/>
        <v>2153.4585819999998</v>
      </c>
      <c r="O102" s="48">
        <f t="shared" si="13"/>
        <v>934.9730000000001</v>
      </c>
      <c r="P102" s="58">
        <f t="shared" si="14"/>
        <v>0</v>
      </c>
      <c r="Q102" s="58" t="e">
        <f t="shared" si="18"/>
        <v>#DIV/0!</v>
      </c>
      <c r="R102" s="58">
        <f t="shared" si="19"/>
        <v>0</v>
      </c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s="4" customFormat="1" ht="12.75" hidden="1">
      <c r="A103" s="59"/>
      <c r="B103" s="60" t="s">
        <v>10</v>
      </c>
      <c r="C103" s="61"/>
      <c r="D103" s="61"/>
      <c r="E103" s="62"/>
      <c r="F103" s="62"/>
      <c r="G103" s="60" t="s">
        <v>5</v>
      </c>
      <c r="H103" s="61"/>
      <c r="I103" s="61"/>
      <c r="J103" s="61"/>
      <c r="K103" s="61"/>
      <c r="L103" s="61"/>
      <c r="M103" s="42"/>
      <c r="N103" s="48">
        <f t="shared" si="12"/>
        <v>0</v>
      </c>
      <c r="O103" s="48">
        <f t="shared" si="13"/>
        <v>0</v>
      </c>
      <c r="P103" s="58">
        <f t="shared" si="14"/>
        <v>0</v>
      </c>
      <c r="Q103" s="58" t="e">
        <f t="shared" si="18"/>
        <v>#DIV/0!</v>
      </c>
      <c r="R103" s="58">
        <f t="shared" si="19"/>
        <v>0</v>
      </c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s="6" customFormat="1" ht="15.75">
      <c r="A104" s="41" t="s">
        <v>57</v>
      </c>
      <c r="B104" s="42"/>
      <c r="C104" s="42" t="s">
        <v>1</v>
      </c>
      <c r="D104" s="42"/>
      <c r="E104" s="44"/>
      <c r="F104" s="45"/>
      <c r="G104" s="42"/>
      <c r="H104" s="42"/>
      <c r="I104" s="42"/>
      <c r="J104" s="46"/>
      <c r="K104" s="42"/>
      <c r="L104" s="42"/>
      <c r="M104" s="42"/>
      <c r="N104" s="48">
        <f t="shared" si="12"/>
        <v>0</v>
      </c>
      <c r="O104" s="48">
        <f t="shared" si="13"/>
        <v>0</v>
      </c>
      <c r="P104" s="58">
        <f t="shared" si="14"/>
        <v>0</v>
      </c>
      <c r="Q104" s="58" t="e">
        <f t="shared" si="18"/>
        <v>#DIV/0!</v>
      </c>
      <c r="R104" s="58">
        <f t="shared" si="19"/>
        <v>0</v>
      </c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5">
      <c r="A105" s="63" t="s">
        <v>179</v>
      </c>
      <c r="B105" s="51" t="s">
        <v>58</v>
      </c>
      <c r="C105" s="51" t="s">
        <v>1</v>
      </c>
      <c r="D105" s="51"/>
      <c r="E105" s="44"/>
      <c r="F105" s="52"/>
      <c r="G105" s="51"/>
      <c r="H105" s="51"/>
      <c r="I105" s="51"/>
      <c r="J105" s="46"/>
      <c r="K105" s="51"/>
      <c r="L105" s="51"/>
      <c r="M105" s="47"/>
      <c r="N105" s="48">
        <f t="shared" si="12"/>
        <v>0</v>
      </c>
      <c r="O105" s="48">
        <f t="shared" si="13"/>
        <v>0</v>
      </c>
      <c r="P105" s="58">
        <f t="shared" si="14"/>
        <v>0</v>
      </c>
      <c r="Q105" s="58" t="e">
        <f t="shared" si="18"/>
        <v>#DIV/0!</v>
      </c>
      <c r="R105" s="58">
        <f t="shared" si="19"/>
        <v>0</v>
      </c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5">
      <c r="A106" s="50"/>
      <c r="B106" s="51" t="s">
        <v>59</v>
      </c>
      <c r="C106" s="51" t="s">
        <v>1</v>
      </c>
      <c r="D106" s="51"/>
      <c r="E106" s="44"/>
      <c r="F106" s="52"/>
      <c r="G106" s="51"/>
      <c r="H106" s="51"/>
      <c r="I106" s="51"/>
      <c r="J106" s="46"/>
      <c r="K106" s="51">
        <f>I106*J106</f>
        <v>0</v>
      </c>
      <c r="L106" s="51"/>
      <c r="M106" s="47"/>
      <c r="N106" s="48">
        <f aca="true" t="shared" si="21" ref="N106:N169">F106*$M$273</f>
        <v>0</v>
      </c>
      <c r="O106" s="48">
        <f aca="true" t="shared" si="22" ref="O106:O169">K106*$M$273</f>
        <v>0</v>
      </c>
      <c r="P106" s="58">
        <f t="shared" si="14"/>
        <v>0</v>
      </c>
      <c r="Q106" s="58" t="e">
        <f t="shared" si="18"/>
        <v>#DIV/0!</v>
      </c>
      <c r="R106" s="58">
        <f t="shared" si="19"/>
        <v>0</v>
      </c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5">
      <c r="A107" s="50"/>
      <c r="B107" s="51" t="s">
        <v>60</v>
      </c>
      <c r="C107" s="51" t="s">
        <v>2</v>
      </c>
      <c r="D107" s="51"/>
      <c r="E107" s="44"/>
      <c r="F107" s="52"/>
      <c r="G107" s="51" t="s">
        <v>61</v>
      </c>
      <c r="H107" s="51" t="s">
        <v>1</v>
      </c>
      <c r="I107" s="51">
        <v>1</v>
      </c>
      <c r="J107" s="46">
        <v>500</v>
      </c>
      <c r="K107" s="51">
        <f>I107*J107</f>
        <v>500</v>
      </c>
      <c r="L107" s="51"/>
      <c r="M107" s="47"/>
      <c r="N107" s="48">
        <f t="shared" si="21"/>
        <v>0</v>
      </c>
      <c r="O107" s="48">
        <f t="shared" si="22"/>
        <v>719.21</v>
      </c>
      <c r="P107" s="58">
        <f t="shared" si="14"/>
        <v>0</v>
      </c>
      <c r="Q107" s="58" t="e">
        <f t="shared" si="18"/>
        <v>#DIV/0!</v>
      </c>
      <c r="R107" s="58">
        <f t="shared" si="19"/>
        <v>0</v>
      </c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s="3" customFormat="1" ht="12.75">
      <c r="A108" s="53" t="s">
        <v>7</v>
      </c>
      <c r="B108" s="54"/>
      <c r="C108" s="55" t="s">
        <v>1</v>
      </c>
      <c r="D108" s="54"/>
      <c r="E108" s="56"/>
      <c r="F108" s="103">
        <f>4000</f>
        <v>4000</v>
      </c>
      <c r="G108" s="54"/>
      <c r="H108" s="54" t="s">
        <v>1</v>
      </c>
      <c r="I108" s="54"/>
      <c r="J108" s="54"/>
      <c r="K108" s="54">
        <f>SUM(K105:K107)</f>
        <v>500</v>
      </c>
      <c r="L108" s="55">
        <f>F108+K108</f>
        <v>4500</v>
      </c>
      <c r="M108" s="48">
        <f>расчет!E23</f>
        <v>13.649999999999999</v>
      </c>
      <c r="N108" s="48">
        <f t="shared" si="21"/>
        <v>5753.68</v>
      </c>
      <c r="O108" s="48">
        <f t="shared" si="22"/>
        <v>719.21</v>
      </c>
      <c r="P108" s="58">
        <f t="shared" si="14"/>
        <v>61424.99999999999</v>
      </c>
      <c r="Q108" s="58">
        <f t="shared" si="18"/>
        <v>6472.89</v>
      </c>
      <c r="R108" s="58">
        <f t="shared" si="19"/>
        <v>88354.9485</v>
      </c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s="4" customFormat="1" ht="12.75">
      <c r="A109" s="59"/>
      <c r="B109" s="60" t="s">
        <v>10</v>
      </c>
      <c r="C109" s="61"/>
      <c r="D109" s="61"/>
      <c r="E109" s="62"/>
      <c r="F109" s="62"/>
      <c r="G109" s="60" t="s">
        <v>5</v>
      </c>
      <c r="H109" s="61"/>
      <c r="I109" s="61"/>
      <c r="J109" s="61"/>
      <c r="K109" s="61"/>
      <c r="L109" s="61"/>
      <c r="M109" s="42"/>
      <c r="N109" s="48">
        <f t="shared" si="21"/>
        <v>0</v>
      </c>
      <c r="O109" s="48">
        <f t="shared" si="22"/>
        <v>0</v>
      </c>
      <c r="P109" s="58">
        <f t="shared" si="14"/>
        <v>0</v>
      </c>
      <c r="Q109" s="58" t="e">
        <f t="shared" si="18"/>
        <v>#DIV/0!</v>
      </c>
      <c r="R109" s="58">
        <f t="shared" si="19"/>
        <v>0</v>
      </c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s="6" customFormat="1" ht="15.75" hidden="1">
      <c r="A110" s="41" t="s">
        <v>62</v>
      </c>
      <c r="B110" s="42"/>
      <c r="C110" s="42" t="s">
        <v>1</v>
      </c>
      <c r="D110" s="42"/>
      <c r="E110" s="44"/>
      <c r="F110" s="45"/>
      <c r="G110" s="42"/>
      <c r="H110" s="42"/>
      <c r="I110" s="42"/>
      <c r="J110" s="46"/>
      <c r="K110" s="42"/>
      <c r="L110" s="42"/>
      <c r="M110" s="42"/>
      <c r="N110" s="48">
        <f t="shared" si="21"/>
        <v>0</v>
      </c>
      <c r="O110" s="48">
        <f t="shared" si="22"/>
        <v>0</v>
      </c>
      <c r="P110" s="58">
        <f t="shared" si="14"/>
        <v>0</v>
      </c>
      <c r="Q110" s="58" t="e">
        <f t="shared" si="18"/>
        <v>#DIV/0!</v>
      </c>
      <c r="R110" s="58">
        <f t="shared" si="19"/>
        <v>0</v>
      </c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5" hidden="1">
      <c r="A111" s="50"/>
      <c r="B111" s="51" t="s">
        <v>58</v>
      </c>
      <c r="C111" s="51" t="s">
        <v>1</v>
      </c>
      <c r="D111" s="51"/>
      <c r="E111" s="44"/>
      <c r="F111" s="52"/>
      <c r="G111" s="51"/>
      <c r="H111" s="51"/>
      <c r="I111" s="51"/>
      <c r="J111" s="46"/>
      <c r="K111" s="51"/>
      <c r="L111" s="51"/>
      <c r="M111" s="47"/>
      <c r="N111" s="48">
        <f t="shared" si="21"/>
        <v>0</v>
      </c>
      <c r="O111" s="48">
        <f t="shared" si="22"/>
        <v>0</v>
      </c>
      <c r="P111" s="58">
        <f t="shared" si="14"/>
        <v>0</v>
      </c>
      <c r="Q111" s="58" t="e">
        <f t="shared" si="18"/>
        <v>#DIV/0!</v>
      </c>
      <c r="R111" s="58">
        <f t="shared" si="19"/>
        <v>0</v>
      </c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5" hidden="1">
      <c r="A112" s="50"/>
      <c r="B112" s="51" t="s">
        <v>59</v>
      </c>
      <c r="C112" s="51" t="s">
        <v>1</v>
      </c>
      <c r="D112" s="51"/>
      <c r="E112" s="44"/>
      <c r="F112" s="52"/>
      <c r="G112" s="51"/>
      <c r="H112" s="51"/>
      <c r="I112" s="51"/>
      <c r="J112" s="46"/>
      <c r="K112" s="51">
        <f>I112*J112</f>
        <v>0</v>
      </c>
      <c r="L112" s="51"/>
      <c r="M112" s="47"/>
      <c r="N112" s="48">
        <f t="shared" si="21"/>
        <v>0</v>
      </c>
      <c r="O112" s="48">
        <f t="shared" si="22"/>
        <v>0</v>
      </c>
      <c r="P112" s="58">
        <f t="shared" si="14"/>
        <v>0</v>
      </c>
      <c r="Q112" s="58" t="e">
        <f t="shared" si="18"/>
        <v>#DIV/0!</v>
      </c>
      <c r="R112" s="58">
        <f t="shared" si="19"/>
        <v>0</v>
      </c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5" hidden="1">
      <c r="A113" s="50"/>
      <c r="B113" s="51" t="s">
        <v>60</v>
      </c>
      <c r="C113" s="51" t="s">
        <v>2</v>
      </c>
      <c r="D113" s="51"/>
      <c r="E113" s="44"/>
      <c r="F113" s="52"/>
      <c r="G113" s="51" t="s">
        <v>61</v>
      </c>
      <c r="H113" s="51" t="s">
        <v>1</v>
      </c>
      <c r="I113" s="51">
        <v>1</v>
      </c>
      <c r="J113" s="46">
        <v>500</v>
      </c>
      <c r="K113" s="51">
        <f>I113*J113</f>
        <v>500</v>
      </c>
      <c r="L113" s="51"/>
      <c r="M113" s="47"/>
      <c r="N113" s="48">
        <f t="shared" si="21"/>
        <v>0</v>
      </c>
      <c r="O113" s="48">
        <f t="shared" si="22"/>
        <v>719.21</v>
      </c>
      <c r="P113" s="58">
        <f t="shared" si="14"/>
        <v>0</v>
      </c>
      <c r="Q113" s="58" t="e">
        <f t="shared" si="18"/>
        <v>#DIV/0!</v>
      </c>
      <c r="R113" s="58">
        <f t="shared" si="19"/>
        <v>0</v>
      </c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s="3" customFormat="1" ht="12.75" hidden="1">
      <c r="A114" s="53" t="s">
        <v>7</v>
      </c>
      <c r="B114" s="54"/>
      <c r="C114" s="55" t="s">
        <v>1</v>
      </c>
      <c r="D114" s="54"/>
      <c r="E114" s="56"/>
      <c r="F114" s="66">
        <f>'[1]цены конструкций'!$G$18</f>
        <v>5948.209054460684</v>
      </c>
      <c r="G114" s="54"/>
      <c r="H114" s="54" t="s">
        <v>1</v>
      </c>
      <c r="I114" s="54"/>
      <c r="J114" s="54"/>
      <c r="K114" s="54">
        <f>SUM(K111:K113)</f>
        <v>500</v>
      </c>
      <c r="L114" s="55">
        <f>F114+K114</f>
        <v>6448.209054460684</v>
      </c>
      <c r="M114" s="42"/>
      <c r="N114" s="48">
        <f t="shared" si="21"/>
        <v>8556.022868117336</v>
      </c>
      <c r="O114" s="48">
        <f t="shared" si="22"/>
        <v>719.21</v>
      </c>
      <c r="P114" s="58">
        <f t="shared" si="14"/>
        <v>0</v>
      </c>
      <c r="Q114" s="58" t="e">
        <f t="shared" si="18"/>
        <v>#DIV/0!</v>
      </c>
      <c r="R114" s="58">
        <f t="shared" si="19"/>
        <v>0</v>
      </c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s="4" customFormat="1" ht="12.75" hidden="1">
      <c r="A115" s="59"/>
      <c r="B115" s="60" t="s">
        <v>10</v>
      </c>
      <c r="C115" s="61"/>
      <c r="D115" s="61"/>
      <c r="E115" s="62"/>
      <c r="F115" s="62"/>
      <c r="G115" s="60" t="s">
        <v>5</v>
      </c>
      <c r="H115" s="61"/>
      <c r="I115" s="61"/>
      <c r="J115" s="61"/>
      <c r="K115" s="61"/>
      <c r="L115" s="61"/>
      <c r="M115" s="42"/>
      <c r="N115" s="48">
        <f t="shared" si="21"/>
        <v>0</v>
      </c>
      <c r="O115" s="48">
        <f t="shared" si="22"/>
        <v>0</v>
      </c>
      <c r="P115" s="58">
        <f aca="true" t="shared" si="23" ref="P115:P178">L115*M115</f>
        <v>0</v>
      </c>
      <c r="Q115" s="58" t="e">
        <f t="shared" si="18"/>
        <v>#DIV/0!</v>
      </c>
      <c r="R115" s="58">
        <f t="shared" si="19"/>
        <v>0</v>
      </c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s="6" customFormat="1" ht="15.75">
      <c r="A116" s="41" t="s">
        <v>4</v>
      </c>
      <c r="B116" s="42"/>
      <c r="C116" s="42" t="s">
        <v>2</v>
      </c>
      <c r="D116" s="42"/>
      <c r="E116" s="44"/>
      <c r="F116" s="45"/>
      <c r="G116" s="42"/>
      <c r="H116" s="42"/>
      <c r="I116" s="42"/>
      <c r="J116" s="46"/>
      <c r="K116" s="42"/>
      <c r="L116" s="42"/>
      <c r="M116" s="42"/>
      <c r="N116" s="48">
        <f t="shared" si="21"/>
        <v>0</v>
      </c>
      <c r="O116" s="48">
        <f t="shared" si="22"/>
        <v>0</v>
      </c>
      <c r="P116" s="58">
        <f t="shared" si="23"/>
        <v>0</v>
      </c>
      <c r="Q116" s="58" t="e">
        <f t="shared" si="18"/>
        <v>#DIV/0!</v>
      </c>
      <c r="R116" s="58">
        <f t="shared" si="19"/>
        <v>0</v>
      </c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5">
      <c r="A117" s="63" t="s">
        <v>173</v>
      </c>
      <c r="B117" s="51" t="s">
        <v>63</v>
      </c>
      <c r="C117" s="51" t="s">
        <v>2</v>
      </c>
      <c r="D117" s="51"/>
      <c r="E117" s="44"/>
      <c r="F117" s="52"/>
      <c r="G117" s="51"/>
      <c r="H117" s="51"/>
      <c r="I117" s="51"/>
      <c r="J117" s="46"/>
      <c r="K117" s="51"/>
      <c r="L117" s="51"/>
      <c r="M117" s="47"/>
      <c r="N117" s="48">
        <f t="shared" si="21"/>
        <v>0</v>
      </c>
      <c r="O117" s="48">
        <f t="shared" si="22"/>
        <v>0</v>
      </c>
      <c r="P117" s="58">
        <f t="shared" si="23"/>
        <v>0</v>
      </c>
      <c r="Q117" s="58" t="e">
        <f t="shared" si="18"/>
        <v>#DIV/0!</v>
      </c>
      <c r="R117" s="58">
        <f t="shared" si="19"/>
        <v>0</v>
      </c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5">
      <c r="A118" s="50"/>
      <c r="B118" s="51" t="s">
        <v>60</v>
      </c>
      <c r="C118" s="51" t="s">
        <v>2</v>
      </c>
      <c r="D118" s="51"/>
      <c r="E118" s="44"/>
      <c r="F118" s="52"/>
      <c r="G118" s="51" t="s">
        <v>61</v>
      </c>
      <c r="H118" s="51" t="s">
        <v>2</v>
      </c>
      <c r="I118" s="51">
        <v>1</v>
      </c>
      <c r="J118" s="46">
        <v>700</v>
      </c>
      <c r="K118" s="51">
        <f>I118*J118</f>
        <v>700</v>
      </c>
      <c r="L118" s="51"/>
      <c r="M118" s="47"/>
      <c r="N118" s="48">
        <f t="shared" si="21"/>
        <v>0</v>
      </c>
      <c r="O118" s="48">
        <f t="shared" si="22"/>
        <v>1006.894</v>
      </c>
      <c r="P118" s="58">
        <f t="shared" si="23"/>
        <v>0</v>
      </c>
      <c r="Q118" s="58" t="e">
        <f t="shared" si="18"/>
        <v>#DIV/0!</v>
      </c>
      <c r="R118" s="58">
        <f t="shared" si="19"/>
        <v>0</v>
      </c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s="3" customFormat="1" ht="12.75">
      <c r="A119" s="53" t="s">
        <v>7</v>
      </c>
      <c r="B119" s="54"/>
      <c r="C119" s="55" t="s">
        <v>1</v>
      </c>
      <c r="D119" s="54"/>
      <c r="E119" s="56"/>
      <c r="F119" s="103">
        <v>1700</v>
      </c>
      <c r="G119" s="54"/>
      <c r="H119" s="54" t="s">
        <v>2</v>
      </c>
      <c r="I119" s="54"/>
      <c r="J119" s="54"/>
      <c r="K119" s="54">
        <f>SUM(K117:K118)</f>
        <v>700</v>
      </c>
      <c r="L119" s="55">
        <f>F119+K119</f>
        <v>2400</v>
      </c>
      <c r="M119" s="48">
        <f>расчет!E24</f>
        <v>9</v>
      </c>
      <c r="N119" s="48">
        <f t="shared" si="21"/>
        <v>2445.314</v>
      </c>
      <c r="O119" s="48">
        <f t="shared" si="22"/>
        <v>1006.894</v>
      </c>
      <c r="P119" s="58">
        <f t="shared" si="23"/>
        <v>21600</v>
      </c>
      <c r="Q119" s="58">
        <f t="shared" si="18"/>
        <v>3452.208</v>
      </c>
      <c r="R119" s="58">
        <f t="shared" si="19"/>
        <v>31069.872</v>
      </c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s="4" customFormat="1" ht="12.75">
      <c r="A120" s="59"/>
      <c r="B120" s="60" t="s">
        <v>10</v>
      </c>
      <c r="C120" s="61"/>
      <c r="D120" s="61"/>
      <c r="E120" s="62"/>
      <c r="F120" s="62"/>
      <c r="G120" s="60" t="s">
        <v>5</v>
      </c>
      <c r="H120" s="61"/>
      <c r="I120" s="61"/>
      <c r="J120" s="61"/>
      <c r="K120" s="61"/>
      <c r="L120" s="61"/>
      <c r="M120" s="42"/>
      <c r="N120" s="48">
        <f t="shared" si="21"/>
        <v>0</v>
      </c>
      <c r="O120" s="48">
        <f t="shared" si="22"/>
        <v>0</v>
      </c>
      <c r="P120" s="58">
        <f t="shared" si="23"/>
        <v>0</v>
      </c>
      <c r="Q120" s="58" t="e">
        <f t="shared" si="18"/>
        <v>#DIV/0!</v>
      </c>
      <c r="R120" s="58">
        <f t="shared" si="19"/>
        <v>0</v>
      </c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s="6" customFormat="1" ht="15.75">
      <c r="A121" s="41" t="s">
        <v>174</v>
      </c>
      <c r="B121" s="42"/>
      <c r="C121" s="42" t="s">
        <v>2</v>
      </c>
      <c r="D121" s="42"/>
      <c r="E121" s="44"/>
      <c r="F121" s="45"/>
      <c r="G121" s="42"/>
      <c r="H121" s="42"/>
      <c r="I121" s="42"/>
      <c r="J121" s="46"/>
      <c r="K121" s="42"/>
      <c r="L121" s="42"/>
      <c r="M121" s="42"/>
      <c r="N121" s="48">
        <f t="shared" si="21"/>
        <v>0</v>
      </c>
      <c r="O121" s="48">
        <f t="shared" si="22"/>
        <v>0</v>
      </c>
      <c r="P121" s="58">
        <f t="shared" si="23"/>
        <v>0</v>
      </c>
      <c r="Q121" s="58" t="e">
        <f t="shared" si="18"/>
        <v>#DIV/0!</v>
      </c>
      <c r="R121" s="58">
        <f t="shared" si="19"/>
        <v>0</v>
      </c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5">
      <c r="A122" s="50"/>
      <c r="B122" s="51" t="s">
        <v>64</v>
      </c>
      <c r="C122" s="51" t="s">
        <v>2</v>
      </c>
      <c r="D122" s="51"/>
      <c r="E122" s="44"/>
      <c r="F122" s="52"/>
      <c r="G122" s="51"/>
      <c r="H122" s="51"/>
      <c r="I122" s="51"/>
      <c r="J122" s="46"/>
      <c r="K122" s="51"/>
      <c r="L122" s="51"/>
      <c r="M122" s="47"/>
      <c r="N122" s="48">
        <f t="shared" si="21"/>
        <v>0</v>
      </c>
      <c r="O122" s="48">
        <f t="shared" si="22"/>
        <v>0</v>
      </c>
      <c r="P122" s="58">
        <f t="shared" si="23"/>
        <v>0</v>
      </c>
      <c r="Q122" s="58" t="e">
        <f t="shared" si="18"/>
        <v>#DIV/0!</v>
      </c>
      <c r="R122" s="58">
        <f t="shared" si="19"/>
        <v>0</v>
      </c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5">
      <c r="A123" s="50"/>
      <c r="B123" s="51" t="s">
        <v>23</v>
      </c>
      <c r="C123" s="51" t="s">
        <v>2</v>
      </c>
      <c r="D123" s="51"/>
      <c r="E123" s="44"/>
      <c r="F123" s="52"/>
      <c r="G123" s="51" t="s">
        <v>61</v>
      </c>
      <c r="H123" s="51" t="s">
        <v>2</v>
      </c>
      <c r="I123" s="51">
        <v>1</v>
      </c>
      <c r="J123" s="46">
        <v>6000</v>
      </c>
      <c r="K123" s="51">
        <f>I123*J123</f>
        <v>6000</v>
      </c>
      <c r="L123" s="51"/>
      <c r="M123" s="47"/>
      <c r="N123" s="48">
        <f t="shared" si="21"/>
        <v>0</v>
      </c>
      <c r="O123" s="48">
        <f t="shared" si="22"/>
        <v>8630.52</v>
      </c>
      <c r="P123" s="58">
        <f t="shared" si="23"/>
        <v>0</v>
      </c>
      <c r="Q123" s="58" t="e">
        <f t="shared" si="18"/>
        <v>#DIV/0!</v>
      </c>
      <c r="R123" s="58">
        <f t="shared" si="19"/>
        <v>0</v>
      </c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s="3" customFormat="1" ht="12.75">
      <c r="A124" s="53" t="s">
        <v>7</v>
      </c>
      <c r="B124" s="54"/>
      <c r="C124" s="55" t="s">
        <v>1</v>
      </c>
      <c r="D124" s="54"/>
      <c r="E124" s="56"/>
      <c r="F124" s="103">
        <v>28000</v>
      </c>
      <c r="G124" s="54"/>
      <c r="H124" s="54" t="s">
        <v>2</v>
      </c>
      <c r="I124" s="54"/>
      <c r="J124" s="54"/>
      <c r="K124" s="54">
        <f>SUM(K123:K123)</f>
        <v>6000</v>
      </c>
      <c r="L124" s="55">
        <f>F124+K124</f>
        <v>34000</v>
      </c>
      <c r="M124" s="48">
        <f>расчет!E20</f>
        <v>1.4</v>
      </c>
      <c r="N124" s="48">
        <f t="shared" si="21"/>
        <v>40275.76</v>
      </c>
      <c r="O124" s="48">
        <f t="shared" si="22"/>
        <v>8630.52</v>
      </c>
      <c r="P124" s="58">
        <f t="shared" si="23"/>
        <v>47600</v>
      </c>
      <c r="Q124" s="58">
        <f t="shared" si="18"/>
        <v>48906.280000000006</v>
      </c>
      <c r="R124" s="58">
        <f t="shared" si="19"/>
        <v>68468.792</v>
      </c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5">
      <c r="A125" s="59"/>
      <c r="B125" s="60" t="s">
        <v>10</v>
      </c>
      <c r="C125" s="61"/>
      <c r="D125" s="61"/>
      <c r="E125" s="62"/>
      <c r="F125" s="62"/>
      <c r="G125" s="60" t="s">
        <v>5</v>
      </c>
      <c r="H125" s="61"/>
      <c r="I125" s="61"/>
      <c r="J125" s="61"/>
      <c r="K125" s="61"/>
      <c r="L125" s="61"/>
      <c r="M125" s="47"/>
      <c r="N125" s="48">
        <f t="shared" si="21"/>
        <v>0</v>
      </c>
      <c r="O125" s="48">
        <f t="shared" si="22"/>
        <v>0</v>
      </c>
      <c r="P125" s="58">
        <f t="shared" si="23"/>
        <v>0</v>
      </c>
      <c r="Q125" s="58" t="e">
        <f t="shared" si="18"/>
        <v>#DIV/0!</v>
      </c>
      <c r="R125" s="58">
        <f t="shared" si="19"/>
        <v>0</v>
      </c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5.75">
      <c r="A126" s="41" t="s">
        <v>65</v>
      </c>
      <c r="B126" s="42"/>
      <c r="C126" s="42" t="s">
        <v>1</v>
      </c>
      <c r="D126" s="42"/>
      <c r="E126" s="44"/>
      <c r="F126" s="45"/>
      <c r="G126" s="42"/>
      <c r="H126" s="42"/>
      <c r="I126" s="42"/>
      <c r="J126" s="46"/>
      <c r="K126" s="42"/>
      <c r="L126" s="42"/>
      <c r="M126" s="47"/>
      <c r="N126" s="48">
        <f t="shared" si="21"/>
        <v>0</v>
      </c>
      <c r="O126" s="48">
        <f t="shared" si="22"/>
        <v>0</v>
      </c>
      <c r="P126" s="58">
        <f t="shared" si="23"/>
        <v>0</v>
      </c>
      <c r="Q126" s="58" t="e">
        <f t="shared" si="18"/>
        <v>#DIV/0!</v>
      </c>
      <c r="R126" s="58">
        <f t="shared" si="19"/>
        <v>0</v>
      </c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5">
      <c r="A127" s="50"/>
      <c r="B127" s="51" t="s">
        <v>66</v>
      </c>
      <c r="C127" s="51" t="s">
        <v>1</v>
      </c>
      <c r="D127" s="51"/>
      <c r="E127" s="44"/>
      <c r="F127" s="52"/>
      <c r="G127" s="51"/>
      <c r="H127" s="51"/>
      <c r="I127" s="51"/>
      <c r="J127" s="46"/>
      <c r="K127" s="51"/>
      <c r="L127" s="51"/>
      <c r="M127" s="47"/>
      <c r="N127" s="48">
        <f t="shared" si="21"/>
        <v>0</v>
      </c>
      <c r="O127" s="48">
        <f t="shared" si="22"/>
        <v>0</v>
      </c>
      <c r="P127" s="58">
        <f t="shared" si="23"/>
        <v>0</v>
      </c>
      <c r="Q127" s="58" t="e">
        <f t="shared" si="18"/>
        <v>#DIV/0!</v>
      </c>
      <c r="R127" s="58">
        <f t="shared" si="19"/>
        <v>0</v>
      </c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5">
      <c r="A128" s="50"/>
      <c r="B128" s="51" t="s">
        <v>67</v>
      </c>
      <c r="C128" s="51" t="s">
        <v>0</v>
      </c>
      <c r="D128" s="51"/>
      <c r="E128" s="44"/>
      <c r="F128" s="52"/>
      <c r="G128" s="51"/>
      <c r="H128" s="51"/>
      <c r="I128" s="51"/>
      <c r="J128" s="46"/>
      <c r="K128" s="51"/>
      <c r="L128" s="51"/>
      <c r="M128" s="47"/>
      <c r="N128" s="48">
        <f t="shared" si="21"/>
        <v>0</v>
      </c>
      <c r="O128" s="48">
        <f t="shared" si="22"/>
        <v>0</v>
      </c>
      <c r="P128" s="58">
        <f t="shared" si="23"/>
        <v>0</v>
      </c>
      <c r="Q128" s="58" t="e">
        <f t="shared" si="18"/>
        <v>#DIV/0!</v>
      </c>
      <c r="R128" s="58">
        <f t="shared" si="19"/>
        <v>0</v>
      </c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5">
      <c r="A129" s="50"/>
      <c r="B129" s="51" t="s">
        <v>68</v>
      </c>
      <c r="C129" s="51" t="s">
        <v>22</v>
      </c>
      <c r="D129" s="51"/>
      <c r="E129" s="44"/>
      <c r="F129" s="52"/>
      <c r="G129" s="51"/>
      <c r="H129" s="51"/>
      <c r="I129" s="51"/>
      <c r="J129" s="46"/>
      <c r="K129" s="51"/>
      <c r="L129" s="51"/>
      <c r="M129" s="47"/>
      <c r="N129" s="48">
        <f t="shared" si="21"/>
        <v>0</v>
      </c>
      <c r="O129" s="48">
        <f t="shared" si="22"/>
        <v>0</v>
      </c>
      <c r="P129" s="58">
        <f t="shared" si="23"/>
        <v>0</v>
      </c>
      <c r="Q129" s="58" t="e">
        <f t="shared" si="18"/>
        <v>#DIV/0!</v>
      </c>
      <c r="R129" s="58">
        <f t="shared" si="19"/>
        <v>0</v>
      </c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5">
      <c r="A130" s="50"/>
      <c r="B130" s="51" t="s">
        <v>23</v>
      </c>
      <c r="C130" s="51" t="s">
        <v>2</v>
      </c>
      <c r="D130" s="51"/>
      <c r="E130" s="44"/>
      <c r="F130" s="52"/>
      <c r="G130" s="51" t="s">
        <v>69</v>
      </c>
      <c r="H130" s="51" t="s">
        <v>1</v>
      </c>
      <c r="I130" s="51">
        <v>1</v>
      </c>
      <c r="J130" s="46">
        <v>400</v>
      </c>
      <c r="K130" s="51">
        <f>I130*J130</f>
        <v>400</v>
      </c>
      <c r="L130" s="51"/>
      <c r="M130" s="47"/>
      <c r="N130" s="48">
        <f t="shared" si="21"/>
        <v>0</v>
      </c>
      <c r="O130" s="48">
        <f t="shared" si="22"/>
        <v>575.368</v>
      </c>
      <c r="P130" s="58">
        <f t="shared" si="23"/>
        <v>0</v>
      </c>
      <c r="Q130" s="58" t="e">
        <f t="shared" si="18"/>
        <v>#DIV/0!</v>
      </c>
      <c r="R130" s="58">
        <f t="shared" si="19"/>
        <v>0</v>
      </c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5">
      <c r="A131" s="53" t="s">
        <v>7</v>
      </c>
      <c r="B131" s="54"/>
      <c r="C131" s="55" t="s">
        <v>1</v>
      </c>
      <c r="D131" s="54"/>
      <c r="E131" s="56"/>
      <c r="F131" s="103">
        <v>1600</v>
      </c>
      <c r="G131" s="54"/>
      <c r="H131" s="54" t="s">
        <v>1</v>
      </c>
      <c r="I131" s="54"/>
      <c r="J131" s="72"/>
      <c r="K131" s="54">
        <f>SUM(K128:K130)</f>
        <v>400</v>
      </c>
      <c r="L131" s="55">
        <f>F131+K131</f>
        <v>2000</v>
      </c>
      <c r="M131" s="73">
        <f>расчет!E19</f>
        <v>5.881</v>
      </c>
      <c r="N131" s="48">
        <f t="shared" si="21"/>
        <v>2301.472</v>
      </c>
      <c r="O131" s="48">
        <f t="shared" si="22"/>
        <v>575.368</v>
      </c>
      <c r="P131" s="58">
        <f t="shared" si="23"/>
        <v>11762</v>
      </c>
      <c r="Q131" s="58">
        <f t="shared" si="18"/>
        <v>2876.8399999999997</v>
      </c>
      <c r="R131" s="58">
        <f t="shared" si="19"/>
        <v>16918.69604</v>
      </c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5" hidden="1">
      <c r="A132" s="10" t="s">
        <v>70</v>
      </c>
      <c r="B132" s="51"/>
      <c r="C132" s="51" t="s">
        <v>2</v>
      </c>
      <c r="D132" s="51"/>
      <c r="E132" s="52"/>
      <c r="F132" s="52">
        <v>30000</v>
      </c>
      <c r="G132" s="51"/>
      <c r="H132" s="51"/>
      <c r="I132" s="51"/>
      <c r="J132" s="51"/>
      <c r="K132" s="51">
        <v>20000</v>
      </c>
      <c r="L132" s="52">
        <f>F132+K132</f>
        <v>50000</v>
      </c>
      <c r="M132" s="47">
        <v>0</v>
      </c>
      <c r="N132" s="48">
        <f t="shared" si="21"/>
        <v>43152.6</v>
      </c>
      <c r="O132" s="48">
        <f t="shared" si="22"/>
        <v>28768.4</v>
      </c>
      <c r="P132" s="58">
        <f t="shared" si="23"/>
        <v>0</v>
      </c>
      <c r="Q132" s="58" t="e">
        <f t="shared" si="18"/>
        <v>#DIV/0!</v>
      </c>
      <c r="R132" s="58">
        <f t="shared" si="19"/>
        <v>0</v>
      </c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5" hidden="1">
      <c r="A133" s="10" t="s">
        <v>71</v>
      </c>
      <c r="B133" s="51"/>
      <c r="C133" s="51" t="s">
        <v>2</v>
      </c>
      <c r="D133" s="51"/>
      <c r="E133" s="52"/>
      <c r="F133" s="52">
        <v>30000</v>
      </c>
      <c r="G133" s="51"/>
      <c r="H133" s="51"/>
      <c r="I133" s="51"/>
      <c r="J133" s="51"/>
      <c r="K133" s="51">
        <v>20000</v>
      </c>
      <c r="L133" s="52">
        <f aca="true" t="shared" si="24" ref="L133:L140">F133+K133</f>
        <v>50000</v>
      </c>
      <c r="M133" s="47">
        <v>0</v>
      </c>
      <c r="N133" s="48">
        <f t="shared" si="21"/>
        <v>43152.6</v>
      </c>
      <c r="O133" s="48">
        <f t="shared" si="22"/>
        <v>28768.4</v>
      </c>
      <c r="P133" s="58">
        <f t="shared" si="23"/>
        <v>0</v>
      </c>
      <c r="Q133" s="58" t="e">
        <f t="shared" si="18"/>
        <v>#DIV/0!</v>
      </c>
      <c r="R133" s="58">
        <f t="shared" si="19"/>
        <v>0</v>
      </c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5" hidden="1">
      <c r="A134" s="10" t="s">
        <v>72</v>
      </c>
      <c r="B134" s="51"/>
      <c r="C134" s="51" t="s">
        <v>2</v>
      </c>
      <c r="D134" s="51"/>
      <c r="E134" s="52"/>
      <c r="F134" s="52">
        <v>30000</v>
      </c>
      <c r="G134" s="51"/>
      <c r="H134" s="51"/>
      <c r="I134" s="51"/>
      <c r="J134" s="51"/>
      <c r="K134" s="51">
        <v>20000</v>
      </c>
      <c r="L134" s="52">
        <f t="shared" si="24"/>
        <v>50000</v>
      </c>
      <c r="M134" s="47">
        <v>0</v>
      </c>
      <c r="N134" s="48">
        <f t="shared" si="21"/>
        <v>43152.6</v>
      </c>
      <c r="O134" s="48">
        <f t="shared" si="22"/>
        <v>28768.4</v>
      </c>
      <c r="P134" s="58">
        <f t="shared" si="23"/>
        <v>0</v>
      </c>
      <c r="Q134" s="58" t="e">
        <f t="shared" si="18"/>
        <v>#DIV/0!</v>
      </c>
      <c r="R134" s="58">
        <f t="shared" si="19"/>
        <v>0</v>
      </c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5" hidden="1">
      <c r="A135" s="10" t="s">
        <v>73</v>
      </c>
      <c r="B135" s="51"/>
      <c r="C135" s="51" t="s">
        <v>2</v>
      </c>
      <c r="D135" s="51"/>
      <c r="E135" s="52"/>
      <c r="F135" s="52">
        <v>30000</v>
      </c>
      <c r="G135" s="51"/>
      <c r="H135" s="51"/>
      <c r="I135" s="51"/>
      <c r="J135" s="51"/>
      <c r="K135" s="51">
        <v>20000</v>
      </c>
      <c r="L135" s="52">
        <f t="shared" si="24"/>
        <v>50000</v>
      </c>
      <c r="M135" s="47">
        <v>0</v>
      </c>
      <c r="N135" s="48">
        <f t="shared" si="21"/>
        <v>43152.6</v>
      </c>
      <c r="O135" s="48">
        <f t="shared" si="22"/>
        <v>28768.4</v>
      </c>
      <c r="P135" s="58">
        <f t="shared" si="23"/>
        <v>0</v>
      </c>
      <c r="Q135" s="58" t="e">
        <f t="shared" si="18"/>
        <v>#DIV/0!</v>
      </c>
      <c r="R135" s="58">
        <f t="shared" si="19"/>
        <v>0</v>
      </c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5" hidden="1">
      <c r="A136" s="10" t="s">
        <v>74</v>
      </c>
      <c r="B136" s="51"/>
      <c r="C136" s="51" t="s">
        <v>2</v>
      </c>
      <c r="D136" s="51"/>
      <c r="E136" s="52"/>
      <c r="F136" s="52">
        <v>30000</v>
      </c>
      <c r="G136" s="51"/>
      <c r="H136" s="51"/>
      <c r="I136" s="51"/>
      <c r="J136" s="51"/>
      <c r="K136" s="51">
        <v>20000</v>
      </c>
      <c r="L136" s="52">
        <f t="shared" si="24"/>
        <v>50000</v>
      </c>
      <c r="M136" s="47">
        <v>0</v>
      </c>
      <c r="N136" s="48">
        <f t="shared" si="21"/>
        <v>43152.6</v>
      </c>
      <c r="O136" s="48">
        <f t="shared" si="22"/>
        <v>28768.4</v>
      </c>
      <c r="P136" s="58">
        <f t="shared" si="23"/>
        <v>0</v>
      </c>
      <c r="Q136" s="58" t="e">
        <f t="shared" si="18"/>
        <v>#DIV/0!</v>
      </c>
      <c r="R136" s="58">
        <f t="shared" si="19"/>
        <v>0</v>
      </c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5" hidden="1">
      <c r="A137" s="10" t="s">
        <v>75</v>
      </c>
      <c r="B137" s="51"/>
      <c r="C137" s="51" t="s">
        <v>2</v>
      </c>
      <c r="D137" s="51"/>
      <c r="E137" s="52"/>
      <c r="F137" s="52">
        <v>30000</v>
      </c>
      <c r="G137" s="51"/>
      <c r="H137" s="51"/>
      <c r="I137" s="51"/>
      <c r="J137" s="51"/>
      <c r="K137" s="51">
        <v>20000</v>
      </c>
      <c r="L137" s="52">
        <f t="shared" si="24"/>
        <v>50000</v>
      </c>
      <c r="M137" s="47">
        <v>0</v>
      </c>
      <c r="N137" s="48">
        <f t="shared" si="21"/>
        <v>43152.6</v>
      </c>
      <c r="O137" s="48">
        <f t="shared" si="22"/>
        <v>28768.4</v>
      </c>
      <c r="P137" s="58">
        <f t="shared" si="23"/>
        <v>0</v>
      </c>
      <c r="Q137" s="58" t="e">
        <f t="shared" si="18"/>
        <v>#DIV/0!</v>
      </c>
      <c r="R137" s="58">
        <f t="shared" si="19"/>
        <v>0</v>
      </c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5" hidden="1">
      <c r="A138" s="10" t="s">
        <v>76</v>
      </c>
      <c r="B138" s="51"/>
      <c r="C138" s="51" t="s">
        <v>2</v>
      </c>
      <c r="D138" s="51"/>
      <c r="E138" s="52"/>
      <c r="F138" s="52">
        <v>30000</v>
      </c>
      <c r="G138" s="51"/>
      <c r="H138" s="51"/>
      <c r="I138" s="51"/>
      <c r="J138" s="51"/>
      <c r="K138" s="51">
        <v>20000</v>
      </c>
      <c r="L138" s="52">
        <f t="shared" si="24"/>
        <v>50000</v>
      </c>
      <c r="M138" s="47">
        <v>0</v>
      </c>
      <c r="N138" s="48">
        <f t="shared" si="21"/>
        <v>43152.6</v>
      </c>
      <c r="O138" s="48">
        <f t="shared" si="22"/>
        <v>28768.4</v>
      </c>
      <c r="P138" s="58">
        <f t="shared" si="23"/>
        <v>0</v>
      </c>
      <c r="Q138" s="58" t="e">
        <f t="shared" si="18"/>
        <v>#DIV/0!</v>
      </c>
      <c r="R138" s="58">
        <f t="shared" si="19"/>
        <v>0</v>
      </c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5" hidden="1">
      <c r="A139" s="10" t="s">
        <v>77</v>
      </c>
      <c r="B139" s="51"/>
      <c r="C139" s="51" t="s">
        <v>2</v>
      </c>
      <c r="D139" s="51"/>
      <c r="E139" s="52"/>
      <c r="F139" s="52">
        <v>30000</v>
      </c>
      <c r="G139" s="51"/>
      <c r="H139" s="51"/>
      <c r="I139" s="51"/>
      <c r="J139" s="51"/>
      <c r="K139" s="51">
        <v>20000</v>
      </c>
      <c r="L139" s="52">
        <f t="shared" si="24"/>
        <v>50000</v>
      </c>
      <c r="M139" s="47">
        <v>0</v>
      </c>
      <c r="N139" s="48">
        <f t="shared" si="21"/>
        <v>43152.6</v>
      </c>
      <c r="O139" s="48">
        <f t="shared" si="22"/>
        <v>28768.4</v>
      </c>
      <c r="P139" s="58">
        <f t="shared" si="23"/>
        <v>0</v>
      </c>
      <c r="Q139" s="58" t="e">
        <f t="shared" si="18"/>
        <v>#DIV/0!</v>
      </c>
      <c r="R139" s="58">
        <f t="shared" si="19"/>
        <v>0</v>
      </c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5" hidden="1">
      <c r="A140" s="10" t="s">
        <v>78</v>
      </c>
      <c r="B140" s="51"/>
      <c r="C140" s="51" t="s">
        <v>2</v>
      </c>
      <c r="D140" s="51"/>
      <c r="E140" s="52"/>
      <c r="F140" s="52">
        <v>30000</v>
      </c>
      <c r="G140" s="51"/>
      <c r="H140" s="51"/>
      <c r="I140" s="51"/>
      <c r="J140" s="51"/>
      <c r="K140" s="51">
        <v>20000</v>
      </c>
      <c r="L140" s="52">
        <f t="shared" si="24"/>
        <v>50000</v>
      </c>
      <c r="M140" s="47">
        <v>0</v>
      </c>
      <c r="N140" s="48">
        <f t="shared" si="21"/>
        <v>43152.6</v>
      </c>
      <c r="O140" s="48">
        <f t="shared" si="22"/>
        <v>28768.4</v>
      </c>
      <c r="P140" s="58">
        <f t="shared" si="23"/>
        <v>0</v>
      </c>
      <c r="Q140" s="58" t="e">
        <f t="shared" si="18"/>
        <v>#DIV/0!</v>
      </c>
      <c r="R140" s="58">
        <f t="shared" si="19"/>
        <v>0</v>
      </c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5">
      <c r="A141" s="50"/>
      <c r="B141" s="51"/>
      <c r="C141" s="51"/>
      <c r="D141" s="51"/>
      <c r="E141" s="52"/>
      <c r="F141" s="52"/>
      <c r="G141" s="51"/>
      <c r="H141" s="51"/>
      <c r="I141" s="51"/>
      <c r="J141" s="51"/>
      <c r="K141" s="51"/>
      <c r="L141" s="51"/>
      <c r="M141" s="47"/>
      <c r="N141" s="48">
        <f t="shared" si="21"/>
        <v>0</v>
      </c>
      <c r="O141" s="48">
        <f t="shared" si="22"/>
        <v>0</v>
      </c>
      <c r="P141" s="58">
        <f t="shared" si="23"/>
        <v>0</v>
      </c>
      <c r="Q141" s="58" t="e">
        <f t="shared" si="18"/>
        <v>#DIV/0!</v>
      </c>
      <c r="R141" s="58">
        <f t="shared" si="19"/>
        <v>0</v>
      </c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s="5" customFormat="1" ht="15.75">
      <c r="A142" s="41" t="s">
        <v>83</v>
      </c>
      <c r="B142" s="65" t="s">
        <v>10</v>
      </c>
      <c r="C142" s="42" t="s">
        <v>1</v>
      </c>
      <c r="D142" s="42"/>
      <c r="E142" s="44"/>
      <c r="F142" s="45"/>
      <c r="G142" s="65" t="s">
        <v>5</v>
      </c>
      <c r="H142" s="42"/>
      <c r="I142" s="42"/>
      <c r="J142" s="46"/>
      <c r="K142" s="42"/>
      <c r="L142" s="42"/>
      <c r="M142" s="42"/>
      <c r="N142" s="48">
        <f t="shared" si="21"/>
        <v>0</v>
      </c>
      <c r="O142" s="48">
        <f t="shared" si="22"/>
        <v>0</v>
      </c>
      <c r="P142" s="58">
        <f t="shared" si="23"/>
        <v>0</v>
      </c>
      <c r="Q142" s="58" t="e">
        <f t="shared" si="18"/>
        <v>#DIV/0!</v>
      </c>
      <c r="R142" s="58">
        <f t="shared" si="19"/>
        <v>0</v>
      </c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5">
      <c r="A143" s="63" t="s">
        <v>82</v>
      </c>
      <c r="B143" s="64" t="s">
        <v>82</v>
      </c>
      <c r="C143" s="51" t="s">
        <v>0</v>
      </c>
      <c r="D143" s="51">
        <v>0.205</v>
      </c>
      <c r="E143" s="66">
        <f>'[1]цены конструкций'!$G$39/0.205</f>
        <v>11506.746890365355</v>
      </c>
      <c r="F143" s="52">
        <f>D143*E143</f>
        <v>2358.8831125248976</v>
      </c>
      <c r="G143" s="51"/>
      <c r="H143" s="51"/>
      <c r="I143" s="51"/>
      <c r="J143" s="46"/>
      <c r="K143" s="51"/>
      <c r="L143" s="51"/>
      <c r="M143" s="47"/>
      <c r="N143" s="48">
        <f t="shared" si="21"/>
        <v>3393.064646718063</v>
      </c>
      <c r="O143" s="48">
        <f t="shared" si="22"/>
        <v>0</v>
      </c>
      <c r="P143" s="58">
        <f t="shared" si="23"/>
        <v>0</v>
      </c>
      <c r="Q143" s="58" t="e">
        <f t="shared" si="18"/>
        <v>#DIV/0!</v>
      </c>
      <c r="R143" s="58">
        <f t="shared" si="19"/>
        <v>0</v>
      </c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5">
      <c r="A144" s="50"/>
      <c r="B144" s="51" t="s">
        <v>27</v>
      </c>
      <c r="C144" s="51" t="s">
        <v>22</v>
      </c>
      <c r="D144" s="51">
        <v>1</v>
      </c>
      <c r="E144" s="44">
        <v>12</v>
      </c>
      <c r="F144" s="52">
        <f>D144*E144</f>
        <v>12</v>
      </c>
      <c r="G144" s="51"/>
      <c r="H144" s="51"/>
      <c r="I144" s="51"/>
      <c r="J144" s="46"/>
      <c r="K144" s="51">
        <f>I144*J144</f>
        <v>0</v>
      </c>
      <c r="L144" s="51"/>
      <c r="M144" s="47"/>
      <c r="N144" s="48">
        <f t="shared" si="21"/>
        <v>17.26104</v>
      </c>
      <c r="O144" s="48">
        <f t="shared" si="22"/>
        <v>0</v>
      </c>
      <c r="P144" s="58">
        <f t="shared" si="23"/>
        <v>0</v>
      </c>
      <c r="Q144" s="58" t="e">
        <f t="shared" si="18"/>
        <v>#DIV/0!</v>
      </c>
      <c r="R144" s="58">
        <f t="shared" si="19"/>
        <v>0</v>
      </c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5">
      <c r="A145" s="50"/>
      <c r="B145" s="51" t="s">
        <v>28</v>
      </c>
      <c r="C145" s="51" t="s">
        <v>29</v>
      </c>
      <c r="D145" s="51"/>
      <c r="E145" s="44"/>
      <c r="F145" s="52">
        <f>D145*E145</f>
        <v>0</v>
      </c>
      <c r="G145" s="51" t="s">
        <v>30</v>
      </c>
      <c r="H145" s="51" t="s">
        <v>1</v>
      </c>
      <c r="I145" s="51">
        <v>1</v>
      </c>
      <c r="J145" s="46">
        <v>245</v>
      </c>
      <c r="K145" s="51">
        <f>I145*J145</f>
        <v>245</v>
      </c>
      <c r="L145" s="51"/>
      <c r="M145" s="47"/>
      <c r="N145" s="48">
        <f t="shared" si="21"/>
        <v>0</v>
      </c>
      <c r="O145" s="48">
        <f t="shared" si="22"/>
        <v>352.41290000000004</v>
      </c>
      <c r="P145" s="58">
        <f t="shared" si="23"/>
        <v>0</v>
      </c>
      <c r="Q145" s="58" t="e">
        <f t="shared" si="18"/>
        <v>#DIV/0!</v>
      </c>
      <c r="R145" s="58">
        <f t="shared" si="19"/>
        <v>0</v>
      </c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5">
      <c r="A146" s="50"/>
      <c r="B146" s="51" t="s">
        <v>31</v>
      </c>
      <c r="C146" s="51" t="s">
        <v>2</v>
      </c>
      <c r="D146" s="51"/>
      <c r="E146" s="44"/>
      <c r="F146" s="52">
        <f>D146*E146</f>
        <v>0</v>
      </c>
      <c r="G146" s="51"/>
      <c r="H146" s="51"/>
      <c r="I146" s="51"/>
      <c r="J146" s="46"/>
      <c r="K146" s="51"/>
      <c r="L146" s="51"/>
      <c r="M146" s="47"/>
      <c r="N146" s="48">
        <f t="shared" si="21"/>
        <v>0</v>
      </c>
      <c r="O146" s="48">
        <f t="shared" si="22"/>
        <v>0</v>
      </c>
      <c r="P146" s="58">
        <f t="shared" si="23"/>
        <v>0</v>
      </c>
      <c r="Q146" s="58" t="e">
        <f t="shared" si="18"/>
        <v>#DIV/0!</v>
      </c>
      <c r="R146" s="58">
        <f t="shared" si="19"/>
        <v>0</v>
      </c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s="3" customFormat="1" ht="12.75">
      <c r="A147" s="74" t="s">
        <v>83</v>
      </c>
      <c r="B147" s="54"/>
      <c r="C147" s="55" t="s">
        <v>1</v>
      </c>
      <c r="D147" s="54"/>
      <c r="E147" s="56"/>
      <c r="F147" s="56">
        <f>SUM(F143:F146)</f>
        <v>2370.8831125248976</v>
      </c>
      <c r="G147" s="54"/>
      <c r="H147" s="54" t="s">
        <v>1</v>
      </c>
      <c r="I147" s="54"/>
      <c r="J147" s="54"/>
      <c r="K147" s="54">
        <f>SUM(K144:K146)</f>
        <v>245</v>
      </c>
      <c r="L147" s="55">
        <f>F147+K147</f>
        <v>2615.8831125248976</v>
      </c>
      <c r="M147" s="48">
        <f>расчет!E15</f>
        <v>0</v>
      </c>
      <c r="N147" s="48">
        <f t="shared" si="21"/>
        <v>3410.325686718063</v>
      </c>
      <c r="O147" s="48">
        <f t="shared" si="22"/>
        <v>352.41290000000004</v>
      </c>
      <c r="P147" s="58">
        <f t="shared" si="23"/>
        <v>0</v>
      </c>
      <c r="Q147" s="58" t="e">
        <f t="shared" si="18"/>
        <v>#DIV/0!</v>
      </c>
      <c r="R147" s="58">
        <f t="shared" si="19"/>
        <v>0</v>
      </c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5">
      <c r="A148" s="50"/>
      <c r="B148" s="51"/>
      <c r="C148" s="51"/>
      <c r="D148" s="51"/>
      <c r="E148" s="52"/>
      <c r="F148" s="52"/>
      <c r="G148" s="51"/>
      <c r="H148" s="51"/>
      <c r="I148" s="51"/>
      <c r="J148" s="51"/>
      <c r="K148" s="51"/>
      <c r="L148" s="51"/>
      <c r="M148" s="47"/>
      <c r="N148" s="48">
        <f t="shared" si="21"/>
        <v>0</v>
      </c>
      <c r="O148" s="48">
        <f t="shared" si="22"/>
        <v>0</v>
      </c>
      <c r="P148" s="58">
        <f t="shared" si="23"/>
        <v>0</v>
      </c>
      <c r="Q148" s="58" t="e">
        <f t="shared" si="18"/>
        <v>#DIV/0!</v>
      </c>
      <c r="R148" s="58">
        <f t="shared" si="19"/>
        <v>0</v>
      </c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5" hidden="1">
      <c r="A149" s="75" t="s">
        <v>85</v>
      </c>
      <c r="B149" s="51"/>
      <c r="C149" s="51" t="s">
        <v>1</v>
      </c>
      <c r="D149" s="51"/>
      <c r="E149" s="52"/>
      <c r="F149" s="66">
        <f>'[1]цены конструкций'!$G$41</f>
        <v>4181.930436358252</v>
      </c>
      <c r="G149" s="51"/>
      <c r="H149" s="51" t="s">
        <v>1</v>
      </c>
      <c r="I149" s="51"/>
      <c r="J149" s="51">
        <v>100</v>
      </c>
      <c r="K149" s="51"/>
      <c r="L149" s="51">
        <v>5616</v>
      </c>
      <c r="M149" s="47"/>
      <c r="N149" s="48">
        <f t="shared" si="21"/>
        <v>6015.372378266437</v>
      </c>
      <c r="O149" s="48">
        <f t="shared" si="22"/>
        <v>0</v>
      </c>
      <c r="P149" s="58">
        <f t="shared" si="23"/>
        <v>0</v>
      </c>
      <c r="Q149" s="58" t="e">
        <f aca="true" t="shared" si="25" ref="Q149:Q174">R149/M149</f>
        <v>#DIV/0!</v>
      </c>
      <c r="R149" s="58">
        <f aca="true" t="shared" si="26" ref="R149:R212">P149*$M$273</f>
        <v>0</v>
      </c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18" s="4" customFormat="1" ht="12.75" hidden="1">
      <c r="A150" s="76"/>
      <c r="B150" s="61"/>
      <c r="C150" s="61"/>
      <c r="D150" s="61"/>
      <c r="E150" s="62"/>
      <c r="F150" s="62"/>
      <c r="G150" s="61"/>
      <c r="H150" s="61"/>
      <c r="I150" s="61"/>
      <c r="J150" s="61"/>
      <c r="K150" s="61"/>
      <c r="L150" s="61"/>
      <c r="M150" s="42"/>
      <c r="N150" s="48">
        <f t="shared" si="21"/>
        <v>0</v>
      </c>
      <c r="O150" s="48">
        <f t="shared" si="22"/>
        <v>0</v>
      </c>
      <c r="P150" s="58">
        <f t="shared" si="23"/>
        <v>0</v>
      </c>
      <c r="Q150" s="58" t="e">
        <f t="shared" si="25"/>
        <v>#DIV/0!</v>
      </c>
      <c r="R150" s="58">
        <f t="shared" si="26"/>
        <v>0</v>
      </c>
    </row>
    <row r="151" spans="1:40" ht="15" hidden="1">
      <c r="A151" s="75" t="s">
        <v>86</v>
      </c>
      <c r="B151" s="51"/>
      <c r="C151" s="51" t="s">
        <v>1</v>
      </c>
      <c r="D151" s="51"/>
      <c r="E151" s="52"/>
      <c r="F151" s="66">
        <f>'[1]цены конструкций'!$G$43</f>
        <v>5122.864784538859</v>
      </c>
      <c r="G151" s="51"/>
      <c r="H151" s="51" t="s">
        <v>1</v>
      </c>
      <c r="I151" s="51"/>
      <c r="J151" s="51">
        <v>100</v>
      </c>
      <c r="K151" s="51"/>
      <c r="L151" s="51">
        <v>6880</v>
      </c>
      <c r="M151" s="47"/>
      <c r="N151" s="48">
        <f t="shared" si="21"/>
        <v>7368.831163376385</v>
      </c>
      <c r="O151" s="48">
        <f t="shared" si="22"/>
        <v>0</v>
      </c>
      <c r="P151" s="58">
        <f t="shared" si="23"/>
        <v>0</v>
      </c>
      <c r="Q151" s="58" t="e">
        <f t="shared" si="25"/>
        <v>#DIV/0!</v>
      </c>
      <c r="R151" s="58">
        <f t="shared" si="26"/>
        <v>0</v>
      </c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18" s="4" customFormat="1" ht="12.75" hidden="1">
      <c r="A152" s="76"/>
      <c r="B152" s="61"/>
      <c r="C152" s="61"/>
      <c r="D152" s="61"/>
      <c r="E152" s="62"/>
      <c r="F152" s="62"/>
      <c r="G152" s="61"/>
      <c r="H152" s="61"/>
      <c r="I152" s="61"/>
      <c r="J152" s="61"/>
      <c r="K152" s="61"/>
      <c r="L152" s="61"/>
      <c r="M152" s="42"/>
      <c r="N152" s="48">
        <f t="shared" si="21"/>
        <v>0</v>
      </c>
      <c r="O152" s="48">
        <f t="shared" si="22"/>
        <v>0</v>
      </c>
      <c r="P152" s="58">
        <f t="shared" si="23"/>
        <v>0</v>
      </c>
      <c r="Q152" s="58" t="e">
        <f t="shared" si="25"/>
        <v>#DIV/0!</v>
      </c>
      <c r="R152" s="58">
        <f t="shared" si="26"/>
        <v>0</v>
      </c>
    </row>
    <row r="153" spans="1:40" ht="39" hidden="1">
      <c r="A153" s="75" t="s">
        <v>88</v>
      </c>
      <c r="B153" s="51"/>
      <c r="C153" s="64" t="s">
        <v>87</v>
      </c>
      <c r="D153" s="51"/>
      <c r="E153" s="52"/>
      <c r="F153" s="52">
        <v>500</v>
      </c>
      <c r="G153" s="51"/>
      <c r="H153" s="51"/>
      <c r="I153" s="51"/>
      <c r="J153" s="51">
        <v>100</v>
      </c>
      <c r="K153" s="51"/>
      <c r="L153" s="51"/>
      <c r="M153" s="47"/>
      <c r="N153" s="48">
        <f t="shared" si="21"/>
        <v>719.21</v>
      </c>
      <c r="O153" s="48">
        <f t="shared" si="22"/>
        <v>0</v>
      </c>
      <c r="P153" s="58">
        <f t="shared" si="23"/>
        <v>0</v>
      </c>
      <c r="Q153" s="58" t="e">
        <f t="shared" si="25"/>
        <v>#DIV/0!</v>
      </c>
      <c r="R153" s="58">
        <f t="shared" si="26"/>
        <v>0</v>
      </c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18" s="4" customFormat="1" ht="12.75" hidden="1">
      <c r="A154" s="76"/>
      <c r="B154" s="61"/>
      <c r="C154" s="61"/>
      <c r="D154" s="61"/>
      <c r="E154" s="62"/>
      <c r="F154" s="62"/>
      <c r="G154" s="61"/>
      <c r="H154" s="61"/>
      <c r="I154" s="61"/>
      <c r="J154" s="61"/>
      <c r="K154" s="61"/>
      <c r="L154" s="61"/>
      <c r="M154" s="42"/>
      <c r="N154" s="48">
        <f t="shared" si="21"/>
        <v>0</v>
      </c>
      <c r="O154" s="48">
        <f t="shared" si="22"/>
        <v>0</v>
      </c>
      <c r="P154" s="58">
        <f t="shared" si="23"/>
        <v>0</v>
      </c>
      <c r="Q154" s="58" t="e">
        <f t="shared" si="25"/>
        <v>#DIV/0!</v>
      </c>
      <c r="R154" s="58">
        <f t="shared" si="26"/>
        <v>0</v>
      </c>
    </row>
    <row r="155" spans="1:40" ht="51.75" hidden="1">
      <c r="A155" s="75" t="s">
        <v>89</v>
      </c>
      <c r="B155" s="51"/>
      <c r="C155" s="64" t="s">
        <v>87</v>
      </c>
      <c r="D155" s="51"/>
      <c r="E155" s="52"/>
      <c r="F155" s="77">
        <f>2*0.2*0.05*7000+0.025*0.5*7000+0.025*0.05*2*7000</f>
        <v>245.00000000000003</v>
      </c>
      <c r="G155" s="51"/>
      <c r="H155" s="51"/>
      <c r="I155" s="51"/>
      <c r="J155" s="51">
        <v>200</v>
      </c>
      <c r="K155" s="51"/>
      <c r="L155" s="51"/>
      <c r="M155" s="47"/>
      <c r="N155" s="48">
        <f t="shared" si="21"/>
        <v>352.41290000000004</v>
      </c>
      <c r="O155" s="48">
        <f t="shared" si="22"/>
        <v>0</v>
      </c>
      <c r="P155" s="58">
        <f t="shared" si="23"/>
        <v>0</v>
      </c>
      <c r="Q155" s="58" t="e">
        <f t="shared" si="25"/>
        <v>#DIV/0!</v>
      </c>
      <c r="R155" s="58">
        <f t="shared" si="26"/>
        <v>0</v>
      </c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5" hidden="1">
      <c r="A156" s="50"/>
      <c r="B156" s="51"/>
      <c r="C156" s="51"/>
      <c r="D156" s="51"/>
      <c r="E156" s="52"/>
      <c r="F156" s="52"/>
      <c r="G156" s="51"/>
      <c r="H156" s="51"/>
      <c r="I156" s="51"/>
      <c r="J156" s="51"/>
      <c r="K156" s="51"/>
      <c r="L156" s="51"/>
      <c r="M156" s="47"/>
      <c r="N156" s="48">
        <f t="shared" si="21"/>
        <v>0</v>
      </c>
      <c r="O156" s="48">
        <f t="shared" si="22"/>
        <v>0</v>
      </c>
      <c r="P156" s="58">
        <f t="shared" si="23"/>
        <v>0</v>
      </c>
      <c r="Q156" s="58" t="e">
        <f t="shared" si="25"/>
        <v>#DIV/0!</v>
      </c>
      <c r="R156" s="58">
        <f t="shared" si="26"/>
        <v>0</v>
      </c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5.75">
      <c r="A157" s="41" t="s">
        <v>45</v>
      </c>
      <c r="B157" s="43"/>
      <c r="C157" s="42" t="s">
        <v>1</v>
      </c>
      <c r="D157" s="42"/>
      <c r="E157" s="45"/>
      <c r="F157" s="45"/>
      <c r="G157" s="42"/>
      <c r="H157" s="42"/>
      <c r="I157" s="42"/>
      <c r="J157" s="46"/>
      <c r="K157" s="42"/>
      <c r="L157" s="42"/>
      <c r="M157" s="47"/>
      <c r="N157" s="48">
        <f t="shared" si="21"/>
        <v>0</v>
      </c>
      <c r="O157" s="48">
        <f t="shared" si="22"/>
        <v>0</v>
      </c>
      <c r="P157" s="58">
        <f t="shared" si="23"/>
        <v>0</v>
      </c>
      <c r="Q157" s="58" t="e">
        <f t="shared" si="25"/>
        <v>#DIV/0!</v>
      </c>
      <c r="R157" s="58">
        <f t="shared" si="26"/>
        <v>0</v>
      </c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5">
      <c r="A158" s="63" t="s">
        <v>175</v>
      </c>
      <c r="B158" s="64" t="s">
        <v>47</v>
      </c>
      <c r="C158" s="51" t="s">
        <v>1</v>
      </c>
      <c r="D158" s="51">
        <v>1</v>
      </c>
      <c r="E158" s="103">
        <v>140</v>
      </c>
      <c r="F158" s="52">
        <f>D158*E158</f>
        <v>140</v>
      </c>
      <c r="G158" s="51"/>
      <c r="H158" s="51"/>
      <c r="I158" s="51"/>
      <c r="J158" s="46"/>
      <c r="K158" s="51"/>
      <c r="L158" s="51"/>
      <c r="M158" s="47"/>
      <c r="N158" s="48">
        <f t="shared" si="21"/>
        <v>201.3788</v>
      </c>
      <c r="O158" s="48">
        <f t="shared" si="22"/>
        <v>0</v>
      </c>
      <c r="P158" s="58">
        <f t="shared" si="23"/>
        <v>0</v>
      </c>
      <c r="Q158" s="58" t="e">
        <f t="shared" si="25"/>
        <v>#DIV/0!</v>
      </c>
      <c r="R158" s="58">
        <f t="shared" si="26"/>
        <v>0</v>
      </c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5">
      <c r="A159" s="50"/>
      <c r="B159" s="42" t="s">
        <v>48</v>
      </c>
      <c r="C159" s="42" t="s">
        <v>1</v>
      </c>
      <c r="D159" s="86">
        <v>0</v>
      </c>
      <c r="E159" s="44">
        <f>E158*0.4</f>
        <v>56</v>
      </c>
      <c r="F159" s="52">
        <f>D159*E159</f>
        <v>0</v>
      </c>
      <c r="G159" s="51"/>
      <c r="H159" s="51"/>
      <c r="I159" s="51"/>
      <c r="J159" s="46"/>
      <c r="K159" s="51"/>
      <c r="L159" s="51"/>
      <c r="M159" s="47"/>
      <c r="N159" s="48">
        <f t="shared" si="21"/>
        <v>0</v>
      </c>
      <c r="O159" s="48">
        <f t="shared" si="22"/>
        <v>0</v>
      </c>
      <c r="P159" s="58">
        <f t="shared" si="23"/>
        <v>0</v>
      </c>
      <c r="Q159" s="58" t="e">
        <f t="shared" si="25"/>
        <v>#DIV/0!</v>
      </c>
      <c r="R159" s="58">
        <f t="shared" si="26"/>
        <v>0</v>
      </c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5">
      <c r="A160" s="50"/>
      <c r="B160" s="64" t="s">
        <v>106</v>
      </c>
      <c r="C160" s="42" t="s">
        <v>1</v>
      </c>
      <c r="D160" s="86">
        <v>0</v>
      </c>
      <c r="E160" s="44">
        <v>14000</v>
      </c>
      <c r="F160" s="52">
        <f>D160*E160</f>
        <v>0</v>
      </c>
      <c r="G160" s="51"/>
      <c r="H160" s="51"/>
      <c r="I160" s="51"/>
      <c r="J160" s="46"/>
      <c r="K160" s="51"/>
      <c r="L160" s="51"/>
      <c r="M160" s="47"/>
      <c r="N160" s="48">
        <f t="shared" si="21"/>
        <v>0</v>
      </c>
      <c r="O160" s="48">
        <f t="shared" si="22"/>
        <v>0</v>
      </c>
      <c r="P160" s="58">
        <f t="shared" si="23"/>
        <v>0</v>
      </c>
      <c r="Q160" s="58" t="e">
        <f t="shared" si="25"/>
        <v>#DIV/0!</v>
      </c>
      <c r="R160" s="58">
        <f t="shared" si="26"/>
        <v>0</v>
      </c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5">
      <c r="A161" s="50"/>
      <c r="B161" s="51" t="s">
        <v>50</v>
      </c>
      <c r="C161" s="51" t="s">
        <v>0</v>
      </c>
      <c r="D161" s="86">
        <f>0.05*0.15</f>
        <v>0.0075</v>
      </c>
      <c r="E161" s="44">
        <v>5500</v>
      </c>
      <c r="F161" s="52">
        <f>D161*E161</f>
        <v>41.25</v>
      </c>
      <c r="G161" s="51"/>
      <c r="H161" s="51"/>
      <c r="I161" s="51"/>
      <c r="J161" s="46"/>
      <c r="K161" s="51"/>
      <c r="L161" s="51"/>
      <c r="M161" s="47"/>
      <c r="N161" s="48">
        <f t="shared" si="21"/>
        <v>59.334825</v>
      </c>
      <c r="O161" s="48">
        <f t="shared" si="22"/>
        <v>0</v>
      </c>
      <c r="P161" s="58">
        <f t="shared" si="23"/>
        <v>0</v>
      </c>
      <c r="Q161" s="58" t="e">
        <f t="shared" si="25"/>
        <v>#DIV/0!</v>
      </c>
      <c r="R161" s="58">
        <f t="shared" si="26"/>
        <v>0</v>
      </c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5">
      <c r="A162" s="50"/>
      <c r="B162" s="42" t="s">
        <v>51</v>
      </c>
      <c r="C162" s="42" t="s">
        <v>0</v>
      </c>
      <c r="D162" s="86">
        <f>0.025*0.3</f>
        <v>0.0075</v>
      </c>
      <c r="E162" s="44">
        <v>4000</v>
      </c>
      <c r="F162" s="52">
        <f>D162*E162</f>
        <v>30</v>
      </c>
      <c r="G162" s="51" t="s">
        <v>52</v>
      </c>
      <c r="H162" s="51" t="s">
        <v>1</v>
      </c>
      <c r="I162" s="51">
        <v>1</v>
      </c>
      <c r="J162" s="46">
        <v>300</v>
      </c>
      <c r="K162" s="51">
        <f>I162*J162</f>
        <v>300</v>
      </c>
      <c r="L162" s="51"/>
      <c r="M162" s="47"/>
      <c r="N162" s="48">
        <f t="shared" si="21"/>
        <v>43.1526</v>
      </c>
      <c r="O162" s="48">
        <f t="shared" si="22"/>
        <v>431.526</v>
      </c>
      <c r="P162" s="58">
        <f t="shared" si="23"/>
        <v>0</v>
      </c>
      <c r="Q162" s="58" t="e">
        <f t="shared" si="25"/>
        <v>#DIV/0!</v>
      </c>
      <c r="R162" s="58">
        <f t="shared" si="26"/>
        <v>0</v>
      </c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25.5">
      <c r="A163" s="74" t="s">
        <v>97</v>
      </c>
      <c r="B163" s="54"/>
      <c r="C163" s="54"/>
      <c r="D163" s="54"/>
      <c r="E163" s="56"/>
      <c r="F163" s="56">
        <f>SUM(F158:F162)</f>
        <v>211.25</v>
      </c>
      <c r="G163" s="54"/>
      <c r="H163" s="54"/>
      <c r="I163" s="54"/>
      <c r="J163" s="54"/>
      <c r="K163" s="54">
        <f>SUM(K158:K162)</f>
        <v>300</v>
      </c>
      <c r="L163" s="67">
        <f>F163+K163</f>
        <v>511.25</v>
      </c>
      <c r="M163" s="73">
        <f>расчет!E25</f>
        <v>42.91169999999998</v>
      </c>
      <c r="N163" s="48">
        <f t="shared" si="21"/>
        <v>303.866225</v>
      </c>
      <c r="O163" s="48">
        <f t="shared" si="22"/>
        <v>431.526</v>
      </c>
      <c r="P163" s="58">
        <f t="shared" si="23"/>
        <v>21938.60662499999</v>
      </c>
      <c r="Q163" s="58">
        <f t="shared" si="25"/>
        <v>735.3922249999999</v>
      </c>
      <c r="R163" s="58">
        <f t="shared" si="26"/>
        <v>31556.930541532485</v>
      </c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5">
      <c r="A164" s="50"/>
      <c r="B164" s="42" t="s">
        <v>54</v>
      </c>
      <c r="C164" s="42" t="s">
        <v>0</v>
      </c>
      <c r="D164" s="86">
        <f>2*0.04*0.04</f>
        <v>0.0032</v>
      </c>
      <c r="E164" s="44">
        <v>5500</v>
      </c>
      <c r="F164" s="52">
        <f>D164*E164</f>
        <v>17.6</v>
      </c>
      <c r="G164" s="51"/>
      <c r="H164" s="51"/>
      <c r="I164" s="51"/>
      <c r="J164" s="46"/>
      <c r="K164" s="51"/>
      <c r="L164" s="51"/>
      <c r="M164" s="47"/>
      <c r="N164" s="48">
        <f t="shared" si="21"/>
        <v>25.316192</v>
      </c>
      <c r="O164" s="48">
        <f t="shared" si="22"/>
        <v>0</v>
      </c>
      <c r="P164" s="58">
        <f t="shared" si="23"/>
        <v>0</v>
      </c>
      <c r="Q164" s="58" t="e">
        <f t="shared" si="25"/>
        <v>#DIV/0!</v>
      </c>
      <c r="R164" s="58">
        <f t="shared" si="26"/>
        <v>0</v>
      </c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5">
      <c r="A165" s="50"/>
      <c r="B165" s="51" t="s">
        <v>35</v>
      </c>
      <c r="C165" s="51" t="s">
        <v>0</v>
      </c>
      <c r="D165" s="86">
        <v>0.05</v>
      </c>
      <c r="E165" s="44">
        <v>1500</v>
      </c>
      <c r="F165" s="52">
        <f>D165*E165</f>
        <v>75</v>
      </c>
      <c r="G165" s="51"/>
      <c r="H165" s="51"/>
      <c r="I165" s="51"/>
      <c r="J165" s="46"/>
      <c r="K165" s="51"/>
      <c r="L165" s="51"/>
      <c r="M165" s="47"/>
      <c r="N165" s="48">
        <f t="shared" si="21"/>
        <v>107.8815</v>
      </c>
      <c r="O165" s="48">
        <f t="shared" si="22"/>
        <v>0</v>
      </c>
      <c r="P165" s="58">
        <f t="shared" si="23"/>
        <v>0</v>
      </c>
      <c r="Q165" s="58" t="e">
        <f t="shared" si="25"/>
        <v>#DIV/0!</v>
      </c>
      <c r="R165" s="58">
        <f t="shared" si="26"/>
        <v>0</v>
      </c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5">
      <c r="A166" s="50"/>
      <c r="B166" s="51" t="s">
        <v>36</v>
      </c>
      <c r="C166" s="51" t="s">
        <v>1</v>
      </c>
      <c r="D166" s="51">
        <v>2</v>
      </c>
      <c r="E166" s="44">
        <v>40</v>
      </c>
      <c r="F166" s="52">
        <f>D166*E166</f>
        <v>80</v>
      </c>
      <c r="G166" s="51"/>
      <c r="H166" s="51"/>
      <c r="I166" s="51"/>
      <c r="J166" s="46"/>
      <c r="K166" s="51"/>
      <c r="L166" s="51"/>
      <c r="M166" s="47"/>
      <c r="N166" s="48">
        <f t="shared" si="21"/>
        <v>115.0736</v>
      </c>
      <c r="O166" s="48">
        <f t="shared" si="22"/>
        <v>0</v>
      </c>
      <c r="P166" s="58">
        <f t="shared" si="23"/>
        <v>0</v>
      </c>
      <c r="Q166" s="58" t="e">
        <f t="shared" si="25"/>
        <v>#DIV/0!</v>
      </c>
      <c r="R166" s="58">
        <f t="shared" si="26"/>
        <v>0</v>
      </c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5">
      <c r="A167" s="50"/>
      <c r="B167" s="51"/>
      <c r="C167" s="51"/>
      <c r="D167" s="51"/>
      <c r="E167" s="44"/>
      <c r="F167" s="52"/>
      <c r="G167" s="51" t="s">
        <v>55</v>
      </c>
      <c r="H167" s="51" t="s">
        <v>1</v>
      </c>
      <c r="I167" s="51">
        <v>1</v>
      </c>
      <c r="J167" s="46">
        <v>150</v>
      </c>
      <c r="K167" s="51">
        <f>I167*J167</f>
        <v>150</v>
      </c>
      <c r="L167" s="51"/>
      <c r="M167" s="47"/>
      <c r="N167" s="48">
        <f t="shared" si="21"/>
        <v>0</v>
      </c>
      <c r="O167" s="48">
        <f t="shared" si="22"/>
        <v>215.763</v>
      </c>
      <c r="P167" s="58">
        <f t="shared" si="23"/>
        <v>0</v>
      </c>
      <c r="Q167" s="58" t="e">
        <f t="shared" si="25"/>
        <v>#DIV/0!</v>
      </c>
      <c r="R167" s="58">
        <f t="shared" si="26"/>
        <v>0</v>
      </c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5">
      <c r="A168" s="50"/>
      <c r="B168" s="71" t="s">
        <v>80</v>
      </c>
      <c r="C168" s="42" t="s">
        <v>22</v>
      </c>
      <c r="D168" s="86"/>
      <c r="E168" s="44"/>
      <c r="F168" s="52">
        <v>50</v>
      </c>
      <c r="G168" s="51" t="s">
        <v>81</v>
      </c>
      <c r="H168" s="51"/>
      <c r="I168" s="51"/>
      <c r="J168" s="86"/>
      <c r="K168" s="51">
        <v>0</v>
      </c>
      <c r="L168" s="51"/>
      <c r="M168" s="47"/>
      <c r="N168" s="48">
        <f t="shared" si="21"/>
        <v>71.921</v>
      </c>
      <c r="O168" s="48">
        <f t="shared" si="22"/>
        <v>0</v>
      </c>
      <c r="P168" s="58">
        <f t="shared" si="23"/>
        <v>0</v>
      </c>
      <c r="Q168" s="58" t="e">
        <f t="shared" si="25"/>
        <v>#DIV/0!</v>
      </c>
      <c r="R168" s="58">
        <f t="shared" si="26"/>
        <v>0</v>
      </c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5">
      <c r="A169" s="50"/>
      <c r="B169" s="51" t="s">
        <v>23</v>
      </c>
      <c r="C169" s="51" t="s">
        <v>2</v>
      </c>
      <c r="D169" s="51">
        <f>1/0.08*3</f>
        <v>37.5</v>
      </c>
      <c r="E169" s="44">
        <v>1.2</v>
      </c>
      <c r="F169" s="52">
        <f>D169*E169</f>
        <v>45</v>
      </c>
      <c r="G169" s="51"/>
      <c r="H169" s="51"/>
      <c r="I169" s="51"/>
      <c r="J169" s="46"/>
      <c r="K169" s="51"/>
      <c r="L169" s="51"/>
      <c r="M169" s="47"/>
      <c r="N169" s="48">
        <f t="shared" si="21"/>
        <v>64.7289</v>
      </c>
      <c r="O169" s="48">
        <f t="shared" si="22"/>
        <v>0</v>
      </c>
      <c r="P169" s="58">
        <f t="shared" si="23"/>
        <v>0</v>
      </c>
      <c r="Q169" s="58" t="e">
        <f t="shared" si="25"/>
        <v>#DIV/0!</v>
      </c>
      <c r="R169" s="58">
        <f t="shared" si="26"/>
        <v>0</v>
      </c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74" t="s">
        <v>98</v>
      </c>
      <c r="B170" s="54"/>
      <c r="C170" s="55" t="s">
        <v>1</v>
      </c>
      <c r="D170" s="54"/>
      <c r="E170" s="56"/>
      <c r="F170" s="56">
        <f>SUM(F163:F169)</f>
        <v>478.85</v>
      </c>
      <c r="G170" s="54"/>
      <c r="H170" s="54"/>
      <c r="I170" s="54"/>
      <c r="J170" s="54"/>
      <c r="K170" s="54">
        <f>SUM(K163:K168)</f>
        <v>450</v>
      </c>
      <c r="L170" s="67">
        <f>F170+K170</f>
        <v>928.85</v>
      </c>
      <c r="M170" s="48">
        <f>расчет!E26</f>
        <v>101.7763</v>
      </c>
      <c r="N170" s="48">
        <f>F170*$M$273</f>
        <v>688.787417</v>
      </c>
      <c r="O170" s="48">
        <f>K170*$M$273</f>
        <v>647.289</v>
      </c>
      <c r="P170" s="58">
        <f t="shared" si="23"/>
        <v>94534.916255</v>
      </c>
      <c r="Q170" s="58">
        <f t="shared" si="25"/>
        <v>1336.0764170000002</v>
      </c>
      <c r="R170" s="58">
        <f t="shared" si="26"/>
        <v>135980.91423951712</v>
      </c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5">
      <c r="A171" s="50"/>
      <c r="B171" s="51"/>
      <c r="C171" s="51"/>
      <c r="D171" s="51"/>
      <c r="E171" s="52"/>
      <c r="F171" s="52"/>
      <c r="G171" s="51"/>
      <c r="H171" s="51"/>
      <c r="I171" s="51"/>
      <c r="J171" s="51"/>
      <c r="K171" s="51"/>
      <c r="L171" s="51"/>
      <c r="M171" s="47"/>
      <c r="N171" s="47"/>
      <c r="O171" s="47"/>
      <c r="P171" s="58">
        <f t="shared" si="23"/>
        <v>0</v>
      </c>
      <c r="Q171" s="58" t="e">
        <f t="shared" si="25"/>
        <v>#DIV/0!</v>
      </c>
      <c r="R171" s="58">
        <f t="shared" si="26"/>
        <v>0</v>
      </c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5">
      <c r="A172" s="106" t="s">
        <v>180</v>
      </c>
      <c r="B172" s="51"/>
      <c r="C172" s="64" t="s">
        <v>0</v>
      </c>
      <c r="D172" s="51"/>
      <c r="E172" s="52"/>
      <c r="F172" s="105">
        <v>7000</v>
      </c>
      <c r="G172" s="55"/>
      <c r="H172" s="55"/>
      <c r="I172" s="55"/>
      <c r="J172" s="55"/>
      <c r="K172" s="55">
        <v>600</v>
      </c>
      <c r="L172" s="51">
        <f>F172+K172</f>
        <v>7600</v>
      </c>
      <c r="M172" s="73">
        <f>расчет!E21</f>
        <v>0.273</v>
      </c>
      <c r="N172" s="73"/>
      <c r="O172" s="73"/>
      <c r="P172" s="58">
        <f t="shared" si="23"/>
        <v>2074.8</v>
      </c>
      <c r="Q172" s="58">
        <f t="shared" si="25"/>
        <v>10931.992</v>
      </c>
      <c r="R172" s="58">
        <f t="shared" si="26"/>
        <v>2984.433816</v>
      </c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5">
      <c r="A173" s="50"/>
      <c r="B173" s="51"/>
      <c r="C173" s="51"/>
      <c r="D173" s="51"/>
      <c r="E173" s="52"/>
      <c r="F173" s="52"/>
      <c r="G173" s="51"/>
      <c r="H173" s="51"/>
      <c r="I173" s="51"/>
      <c r="J173" s="51"/>
      <c r="K173" s="51"/>
      <c r="L173" s="51"/>
      <c r="M173" s="47"/>
      <c r="N173" s="47"/>
      <c r="O173" s="47"/>
      <c r="P173" s="58">
        <f t="shared" si="23"/>
        <v>0</v>
      </c>
      <c r="Q173" s="58" t="e">
        <f t="shared" si="25"/>
        <v>#DIV/0!</v>
      </c>
      <c r="R173" s="58">
        <f t="shared" si="26"/>
        <v>0</v>
      </c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5">
      <c r="A174" s="106" t="s">
        <v>181</v>
      </c>
      <c r="B174" s="51"/>
      <c r="C174" s="64" t="s">
        <v>1</v>
      </c>
      <c r="D174" s="51"/>
      <c r="E174" s="52"/>
      <c r="F174" s="105">
        <f>14000*0.022</f>
        <v>308</v>
      </c>
      <c r="G174" s="55"/>
      <c r="H174" s="55"/>
      <c r="I174" s="55"/>
      <c r="J174" s="55"/>
      <c r="K174" s="55">
        <v>100</v>
      </c>
      <c r="L174" s="51">
        <f>F174+K174</f>
        <v>408</v>
      </c>
      <c r="M174" s="73">
        <f>расчет!E22</f>
        <v>47.349999999999994</v>
      </c>
      <c r="N174" s="73"/>
      <c r="O174" s="73"/>
      <c r="P174" s="58">
        <f t="shared" si="23"/>
        <v>19318.8</v>
      </c>
      <c r="Q174" s="58">
        <f t="shared" si="25"/>
        <v>586.8753600000001</v>
      </c>
      <c r="R174" s="58">
        <f t="shared" si="26"/>
        <v>27788.548296</v>
      </c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5">
      <c r="A175" s="50"/>
      <c r="B175" s="51"/>
      <c r="C175" s="51"/>
      <c r="D175" s="51"/>
      <c r="E175" s="52"/>
      <c r="F175" s="52"/>
      <c r="G175" s="51"/>
      <c r="H175" s="51"/>
      <c r="I175" s="51"/>
      <c r="J175" s="51"/>
      <c r="K175" s="51"/>
      <c r="L175" s="51"/>
      <c r="M175" s="47"/>
      <c r="N175" s="47"/>
      <c r="O175" s="47"/>
      <c r="P175" s="58">
        <f t="shared" si="23"/>
        <v>0</v>
      </c>
      <c r="Q175" s="58"/>
      <c r="R175" s="58">
        <f t="shared" si="26"/>
        <v>0</v>
      </c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5" hidden="1">
      <c r="A176" s="50"/>
      <c r="B176" s="51"/>
      <c r="C176" s="51"/>
      <c r="D176" s="51"/>
      <c r="E176" s="52"/>
      <c r="F176" s="52"/>
      <c r="G176" s="51"/>
      <c r="H176" s="51"/>
      <c r="I176" s="51"/>
      <c r="J176" s="51"/>
      <c r="K176" s="51"/>
      <c r="L176" s="51"/>
      <c r="M176" s="47"/>
      <c r="N176" s="47"/>
      <c r="O176" s="47"/>
      <c r="P176" s="58">
        <f t="shared" si="23"/>
        <v>0</v>
      </c>
      <c r="Q176" s="58"/>
      <c r="R176" s="58">
        <f t="shared" si="26"/>
        <v>0</v>
      </c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s="5" customFormat="1" ht="15.75" hidden="1">
      <c r="A177" s="41" t="s">
        <v>91</v>
      </c>
      <c r="B177" s="65" t="s">
        <v>10</v>
      </c>
      <c r="C177" s="42" t="s">
        <v>1</v>
      </c>
      <c r="D177" s="42"/>
      <c r="E177" s="44"/>
      <c r="F177" s="45"/>
      <c r="G177" s="65" t="s">
        <v>5</v>
      </c>
      <c r="H177" s="42"/>
      <c r="I177" s="42"/>
      <c r="J177" s="46"/>
      <c r="K177" s="42"/>
      <c r="L177" s="42"/>
      <c r="M177" s="42"/>
      <c r="N177" s="42"/>
      <c r="O177" s="42"/>
      <c r="P177" s="58">
        <f t="shared" si="23"/>
        <v>0</v>
      </c>
      <c r="Q177" s="58"/>
      <c r="R177" s="58">
        <f t="shared" si="26"/>
        <v>0</v>
      </c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5" hidden="1">
      <c r="A178" s="63" t="s">
        <v>82</v>
      </c>
      <c r="B178" s="64" t="s">
        <v>82</v>
      </c>
      <c r="C178" s="51" t="s">
        <v>0</v>
      </c>
      <c r="D178" s="51">
        <v>0.205</v>
      </c>
      <c r="E178" s="66">
        <f>'[1]цены конструкций'!$G$52/0.205</f>
        <v>16608.450813177522</v>
      </c>
      <c r="F178" s="52">
        <f>D178*E178</f>
        <v>3404.7324167013917</v>
      </c>
      <c r="G178" s="51"/>
      <c r="H178" s="51"/>
      <c r="I178" s="51"/>
      <c r="J178" s="46"/>
      <c r="K178" s="51"/>
      <c r="L178" s="51"/>
      <c r="M178" s="47"/>
      <c r="N178" s="47"/>
      <c r="O178" s="47"/>
      <c r="P178" s="58">
        <f t="shared" si="23"/>
        <v>0</v>
      </c>
      <c r="Q178" s="58"/>
      <c r="R178" s="58">
        <f t="shared" si="26"/>
        <v>0</v>
      </c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5" hidden="1">
      <c r="A179" s="50"/>
      <c r="B179" s="51" t="s">
        <v>27</v>
      </c>
      <c r="C179" s="51" t="s">
        <v>22</v>
      </c>
      <c r="D179" s="51">
        <v>1</v>
      </c>
      <c r="E179" s="44">
        <v>12</v>
      </c>
      <c r="F179" s="52">
        <f>D179*E179</f>
        <v>12</v>
      </c>
      <c r="G179" s="51"/>
      <c r="H179" s="51"/>
      <c r="I179" s="51"/>
      <c r="J179" s="46"/>
      <c r="K179" s="51">
        <f>I179*J179</f>
        <v>0</v>
      </c>
      <c r="L179" s="51"/>
      <c r="M179" s="47"/>
      <c r="N179" s="47"/>
      <c r="O179" s="47"/>
      <c r="P179" s="58">
        <f aca="true" t="shared" si="27" ref="P179:P242">L179*M179</f>
        <v>0</v>
      </c>
      <c r="Q179" s="58"/>
      <c r="R179" s="58">
        <f t="shared" si="26"/>
        <v>0</v>
      </c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5" hidden="1">
      <c r="A180" s="50"/>
      <c r="B180" s="51" t="s">
        <v>28</v>
      </c>
      <c r="C180" s="51" t="s">
        <v>29</v>
      </c>
      <c r="D180" s="51"/>
      <c r="E180" s="44"/>
      <c r="F180" s="52">
        <f>D180*E180</f>
        <v>0</v>
      </c>
      <c r="G180" s="51" t="s">
        <v>30</v>
      </c>
      <c r="H180" s="51" t="s">
        <v>1</v>
      </c>
      <c r="I180" s="51">
        <v>1</v>
      </c>
      <c r="J180" s="46">
        <v>245</v>
      </c>
      <c r="K180" s="51">
        <f>I180*J180</f>
        <v>245</v>
      </c>
      <c r="L180" s="51"/>
      <c r="M180" s="47"/>
      <c r="N180" s="47"/>
      <c r="O180" s="47"/>
      <c r="P180" s="58">
        <f t="shared" si="27"/>
        <v>0</v>
      </c>
      <c r="Q180" s="58"/>
      <c r="R180" s="58">
        <f t="shared" si="26"/>
        <v>0</v>
      </c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5" hidden="1">
      <c r="A181" s="50"/>
      <c r="B181" s="51" t="s">
        <v>31</v>
      </c>
      <c r="C181" s="51" t="s">
        <v>2</v>
      </c>
      <c r="D181" s="51"/>
      <c r="E181" s="44"/>
      <c r="F181" s="52">
        <f>D181*E181</f>
        <v>0</v>
      </c>
      <c r="G181" s="51"/>
      <c r="H181" s="51"/>
      <c r="I181" s="51"/>
      <c r="J181" s="46"/>
      <c r="K181" s="51"/>
      <c r="L181" s="51"/>
      <c r="M181" s="47"/>
      <c r="N181" s="47"/>
      <c r="O181" s="47"/>
      <c r="P181" s="58">
        <f t="shared" si="27"/>
        <v>0</v>
      </c>
      <c r="Q181" s="58"/>
      <c r="R181" s="58">
        <f t="shared" si="26"/>
        <v>0</v>
      </c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s="3" customFormat="1" ht="12.75" hidden="1">
      <c r="A182" s="53" t="s">
        <v>7</v>
      </c>
      <c r="B182" s="54"/>
      <c r="C182" s="55" t="s">
        <v>1</v>
      </c>
      <c r="D182" s="54"/>
      <c r="E182" s="56"/>
      <c r="F182" s="66">
        <f>SUM(F178:F181)</f>
        <v>3416.7324167013917</v>
      </c>
      <c r="G182" s="54"/>
      <c r="H182" s="54" t="s">
        <v>1</v>
      </c>
      <c r="I182" s="54"/>
      <c r="J182" s="54"/>
      <c r="K182" s="54">
        <f>SUM(K179:K181)</f>
        <v>245</v>
      </c>
      <c r="L182" s="55">
        <f>F182+K182</f>
        <v>3661.7324167013917</v>
      </c>
      <c r="M182" s="42"/>
      <c r="N182" s="42"/>
      <c r="O182" s="42"/>
      <c r="P182" s="58">
        <f t="shared" si="27"/>
        <v>0</v>
      </c>
      <c r="Q182" s="58"/>
      <c r="R182" s="58">
        <f t="shared" si="26"/>
        <v>0</v>
      </c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5" hidden="1">
      <c r="A183" s="50"/>
      <c r="B183" s="51"/>
      <c r="C183" s="51"/>
      <c r="D183" s="51"/>
      <c r="E183" s="52"/>
      <c r="F183" s="52"/>
      <c r="G183" s="51"/>
      <c r="H183" s="51"/>
      <c r="I183" s="51"/>
      <c r="J183" s="51"/>
      <c r="K183" s="51"/>
      <c r="L183" s="51"/>
      <c r="M183" s="47"/>
      <c r="N183" s="47"/>
      <c r="O183" s="47"/>
      <c r="P183" s="58">
        <f t="shared" si="27"/>
        <v>0</v>
      </c>
      <c r="Q183" s="58"/>
      <c r="R183" s="58">
        <f t="shared" si="26"/>
        <v>0</v>
      </c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s="5" customFormat="1" ht="31.5" hidden="1">
      <c r="A184" s="41" t="s">
        <v>92</v>
      </c>
      <c r="B184" s="65" t="s">
        <v>10</v>
      </c>
      <c r="C184" s="42" t="s">
        <v>1</v>
      </c>
      <c r="D184" s="42"/>
      <c r="E184" s="44"/>
      <c r="F184" s="45"/>
      <c r="G184" s="65" t="s">
        <v>5</v>
      </c>
      <c r="H184" s="42"/>
      <c r="I184" s="42"/>
      <c r="J184" s="46"/>
      <c r="K184" s="42"/>
      <c r="L184" s="42"/>
      <c r="M184" s="42"/>
      <c r="N184" s="42"/>
      <c r="O184" s="42"/>
      <c r="P184" s="58">
        <f t="shared" si="27"/>
        <v>0</v>
      </c>
      <c r="Q184" s="58"/>
      <c r="R184" s="58">
        <f t="shared" si="26"/>
        <v>0</v>
      </c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5" hidden="1">
      <c r="A185" s="50" t="s">
        <v>26</v>
      </c>
      <c r="B185" s="51" t="s">
        <v>26</v>
      </c>
      <c r="C185" s="51" t="s">
        <v>0</v>
      </c>
      <c r="D185" s="51">
        <v>0.25</v>
      </c>
      <c r="E185" s="66">
        <f>'[1]цены конструкций'!$G$57/0.25</f>
        <v>15092.738747997599</v>
      </c>
      <c r="F185" s="52">
        <f>D185*E185</f>
        <v>3773.1846869993997</v>
      </c>
      <c r="G185" s="51"/>
      <c r="H185" s="51"/>
      <c r="I185" s="51"/>
      <c r="J185" s="46"/>
      <c r="K185" s="51"/>
      <c r="L185" s="51"/>
      <c r="M185" s="47"/>
      <c r="N185" s="47"/>
      <c r="O185" s="47"/>
      <c r="P185" s="58">
        <f t="shared" si="27"/>
        <v>0</v>
      </c>
      <c r="Q185" s="58"/>
      <c r="R185" s="58">
        <f t="shared" si="26"/>
        <v>0</v>
      </c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5" hidden="1">
      <c r="A186" s="50"/>
      <c r="B186" s="51" t="s">
        <v>27</v>
      </c>
      <c r="C186" s="51" t="s">
        <v>22</v>
      </c>
      <c r="D186" s="51">
        <v>1</v>
      </c>
      <c r="E186" s="44">
        <v>12</v>
      </c>
      <c r="F186" s="52">
        <f>D186*E186</f>
        <v>12</v>
      </c>
      <c r="G186" s="51"/>
      <c r="H186" s="51"/>
      <c r="I186" s="51"/>
      <c r="J186" s="46"/>
      <c r="K186" s="51">
        <f>I186*J186</f>
        <v>0</v>
      </c>
      <c r="L186" s="51"/>
      <c r="M186" s="47"/>
      <c r="N186" s="47"/>
      <c r="O186" s="47"/>
      <c r="P186" s="58">
        <f t="shared" si="27"/>
        <v>0</v>
      </c>
      <c r="Q186" s="58"/>
      <c r="R186" s="58">
        <f t="shared" si="26"/>
        <v>0</v>
      </c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5" hidden="1">
      <c r="A187" s="50"/>
      <c r="B187" s="51" t="s">
        <v>28</v>
      </c>
      <c r="C187" s="51" t="s">
        <v>29</v>
      </c>
      <c r="D187" s="51">
        <v>0.3</v>
      </c>
      <c r="E187" s="44">
        <v>260</v>
      </c>
      <c r="F187" s="52">
        <f>D187*E187</f>
        <v>78</v>
      </c>
      <c r="G187" s="51" t="s">
        <v>30</v>
      </c>
      <c r="H187" s="51" t="s">
        <v>1</v>
      </c>
      <c r="I187" s="51">
        <v>1</v>
      </c>
      <c r="J187" s="46">
        <v>245</v>
      </c>
      <c r="K187" s="51">
        <f>I187*J187</f>
        <v>245</v>
      </c>
      <c r="L187" s="51"/>
      <c r="M187" s="47"/>
      <c r="N187" s="47"/>
      <c r="O187" s="47"/>
      <c r="P187" s="58">
        <f t="shared" si="27"/>
        <v>0</v>
      </c>
      <c r="Q187" s="58"/>
      <c r="R187" s="58">
        <f t="shared" si="26"/>
        <v>0</v>
      </c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5" hidden="1">
      <c r="A188" s="50"/>
      <c r="B188" s="51" t="s">
        <v>31</v>
      </c>
      <c r="C188" s="51" t="s">
        <v>2</v>
      </c>
      <c r="D188" s="51">
        <v>0.1</v>
      </c>
      <c r="E188" s="44">
        <v>100</v>
      </c>
      <c r="F188" s="52">
        <f>D188*E188</f>
        <v>10</v>
      </c>
      <c r="G188" s="51" t="s">
        <v>32</v>
      </c>
      <c r="H188" s="51" t="s">
        <v>1</v>
      </c>
      <c r="I188" s="51">
        <v>1</v>
      </c>
      <c r="J188" s="46">
        <v>60</v>
      </c>
      <c r="K188" s="51">
        <f>I188*J188</f>
        <v>60</v>
      </c>
      <c r="L188" s="51"/>
      <c r="M188" s="47"/>
      <c r="N188" s="47"/>
      <c r="O188" s="47"/>
      <c r="P188" s="58">
        <f t="shared" si="27"/>
        <v>0</v>
      </c>
      <c r="Q188" s="58"/>
      <c r="R188" s="58">
        <f t="shared" si="26"/>
        <v>0</v>
      </c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s="3" customFormat="1" ht="12.75" hidden="1">
      <c r="A189" s="53" t="s">
        <v>7</v>
      </c>
      <c r="B189" s="54"/>
      <c r="C189" s="55" t="s">
        <v>1</v>
      </c>
      <c r="D189" s="54"/>
      <c r="E189" s="56"/>
      <c r="F189" s="56">
        <f>SUM(F185:F188)</f>
        <v>3873.1846869993997</v>
      </c>
      <c r="G189" s="54"/>
      <c r="H189" s="54" t="s">
        <v>1</v>
      </c>
      <c r="I189" s="54"/>
      <c r="J189" s="54"/>
      <c r="K189" s="54">
        <f>SUM(K186:K188)</f>
        <v>305</v>
      </c>
      <c r="L189" s="55">
        <f>F189+K189</f>
        <v>4178.1846869994</v>
      </c>
      <c r="M189" s="42"/>
      <c r="N189" s="42"/>
      <c r="O189" s="42"/>
      <c r="P189" s="58">
        <f t="shared" si="27"/>
        <v>0</v>
      </c>
      <c r="Q189" s="58"/>
      <c r="R189" s="58">
        <f t="shared" si="26"/>
        <v>0</v>
      </c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5" hidden="1">
      <c r="A190" s="50"/>
      <c r="B190" s="51"/>
      <c r="C190" s="51"/>
      <c r="D190" s="51"/>
      <c r="E190" s="52"/>
      <c r="F190" s="52"/>
      <c r="G190" s="51"/>
      <c r="H190" s="51"/>
      <c r="I190" s="51"/>
      <c r="J190" s="51"/>
      <c r="K190" s="51"/>
      <c r="L190" s="51"/>
      <c r="M190" s="47"/>
      <c r="N190" s="47"/>
      <c r="O190" s="47"/>
      <c r="P190" s="58">
        <f t="shared" si="27"/>
        <v>0</v>
      </c>
      <c r="Q190" s="58"/>
      <c r="R190" s="58">
        <f t="shared" si="26"/>
        <v>0</v>
      </c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5" hidden="1">
      <c r="A191" s="50"/>
      <c r="B191" s="51"/>
      <c r="C191" s="51"/>
      <c r="D191" s="51"/>
      <c r="E191" s="52"/>
      <c r="F191" s="52"/>
      <c r="G191" s="51"/>
      <c r="H191" s="51"/>
      <c r="I191" s="51"/>
      <c r="J191" s="51"/>
      <c r="K191" s="51"/>
      <c r="L191" s="51"/>
      <c r="M191" s="47"/>
      <c r="N191" s="47"/>
      <c r="O191" s="47"/>
      <c r="P191" s="58">
        <f t="shared" si="27"/>
        <v>0</v>
      </c>
      <c r="Q191" s="58"/>
      <c r="R191" s="58">
        <f t="shared" si="26"/>
        <v>0</v>
      </c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31.5" hidden="1">
      <c r="A192" s="41" t="s">
        <v>93</v>
      </c>
      <c r="B192" s="43"/>
      <c r="C192" s="42" t="s">
        <v>1</v>
      </c>
      <c r="D192" s="42"/>
      <c r="E192" s="45"/>
      <c r="F192" s="45"/>
      <c r="G192" s="42"/>
      <c r="H192" s="42"/>
      <c r="I192" s="42"/>
      <c r="J192" s="46"/>
      <c r="K192" s="42"/>
      <c r="L192" s="42"/>
      <c r="M192" s="47"/>
      <c r="N192" s="47"/>
      <c r="O192" s="47"/>
      <c r="P192" s="58">
        <f t="shared" si="27"/>
        <v>0</v>
      </c>
      <c r="Q192" s="58"/>
      <c r="R192" s="58">
        <f t="shared" si="26"/>
        <v>0</v>
      </c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5" hidden="1">
      <c r="A193" s="50"/>
      <c r="B193" s="64" t="s">
        <v>47</v>
      </c>
      <c r="C193" s="51" t="s">
        <v>1</v>
      </c>
      <c r="D193" s="51">
        <v>1</v>
      </c>
      <c r="E193" s="44">
        <v>800</v>
      </c>
      <c r="F193" s="52">
        <f aca="true" t="shared" si="28" ref="F193:F198">D193*E193</f>
        <v>800</v>
      </c>
      <c r="G193" s="51"/>
      <c r="H193" s="51"/>
      <c r="I193" s="51"/>
      <c r="J193" s="46"/>
      <c r="K193" s="51"/>
      <c r="L193" s="51"/>
      <c r="M193" s="47"/>
      <c r="N193" s="47"/>
      <c r="O193" s="47"/>
      <c r="P193" s="58">
        <f t="shared" si="27"/>
        <v>0</v>
      </c>
      <c r="Q193" s="58"/>
      <c r="R193" s="58">
        <f t="shared" si="26"/>
        <v>0</v>
      </c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5" hidden="1">
      <c r="A194" s="50"/>
      <c r="B194" s="42" t="s">
        <v>48</v>
      </c>
      <c r="C194" s="42" t="s">
        <v>1</v>
      </c>
      <c r="D194" s="51">
        <v>1</v>
      </c>
      <c r="E194" s="44">
        <f>E193*0.4</f>
        <v>320</v>
      </c>
      <c r="F194" s="52">
        <f t="shared" si="28"/>
        <v>320</v>
      </c>
      <c r="G194" s="51"/>
      <c r="H194" s="51"/>
      <c r="I194" s="51"/>
      <c r="J194" s="46"/>
      <c r="K194" s="51"/>
      <c r="L194" s="51"/>
      <c r="M194" s="47"/>
      <c r="N194" s="47"/>
      <c r="O194" s="47"/>
      <c r="P194" s="58">
        <f t="shared" si="27"/>
        <v>0</v>
      </c>
      <c r="Q194" s="58"/>
      <c r="R194" s="58">
        <f t="shared" si="26"/>
        <v>0</v>
      </c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5" hidden="1">
      <c r="A195" s="50"/>
      <c r="B195" s="64" t="s">
        <v>49</v>
      </c>
      <c r="C195" s="42" t="s">
        <v>1</v>
      </c>
      <c r="D195" s="51">
        <v>0</v>
      </c>
      <c r="E195" s="44">
        <v>160</v>
      </c>
      <c r="F195" s="52">
        <f t="shared" si="28"/>
        <v>0</v>
      </c>
      <c r="G195" s="51"/>
      <c r="H195" s="51"/>
      <c r="I195" s="51"/>
      <c r="J195" s="46"/>
      <c r="K195" s="51"/>
      <c r="L195" s="51"/>
      <c r="M195" s="47"/>
      <c r="N195" s="47"/>
      <c r="O195" s="47"/>
      <c r="P195" s="58">
        <f t="shared" si="27"/>
        <v>0</v>
      </c>
      <c r="Q195" s="58"/>
      <c r="R195" s="58">
        <f t="shared" si="26"/>
        <v>0</v>
      </c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5" hidden="1">
      <c r="A196" s="50"/>
      <c r="B196" s="51" t="s">
        <v>50</v>
      </c>
      <c r="C196" s="51" t="s">
        <v>0</v>
      </c>
      <c r="D196" s="51">
        <f>0.1*0.22</f>
        <v>0.022000000000000002</v>
      </c>
      <c r="E196" s="44">
        <v>5500</v>
      </c>
      <c r="F196" s="52">
        <f t="shared" si="28"/>
        <v>121.00000000000001</v>
      </c>
      <c r="G196" s="51"/>
      <c r="H196" s="51"/>
      <c r="I196" s="51"/>
      <c r="J196" s="46"/>
      <c r="K196" s="51"/>
      <c r="L196" s="51"/>
      <c r="M196" s="47"/>
      <c r="N196" s="47"/>
      <c r="O196" s="47"/>
      <c r="P196" s="58">
        <f t="shared" si="27"/>
        <v>0</v>
      </c>
      <c r="Q196" s="58"/>
      <c r="R196" s="58">
        <f t="shared" si="26"/>
        <v>0</v>
      </c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5" hidden="1">
      <c r="A197" s="50"/>
      <c r="B197" s="42" t="s">
        <v>51</v>
      </c>
      <c r="C197" s="42" t="s">
        <v>0</v>
      </c>
      <c r="D197" s="51">
        <f>0.04*0.6*3</f>
        <v>0.07200000000000001</v>
      </c>
      <c r="E197" s="44">
        <v>4000</v>
      </c>
      <c r="F197" s="52">
        <f t="shared" si="28"/>
        <v>288.00000000000006</v>
      </c>
      <c r="G197" s="51" t="s">
        <v>52</v>
      </c>
      <c r="H197" s="51" t="s">
        <v>1</v>
      </c>
      <c r="I197" s="51">
        <v>1</v>
      </c>
      <c r="J197" s="46">
        <v>700</v>
      </c>
      <c r="K197" s="51">
        <f>I197*J197</f>
        <v>700</v>
      </c>
      <c r="L197" s="51"/>
      <c r="M197" s="47"/>
      <c r="N197" s="47"/>
      <c r="O197" s="47"/>
      <c r="P197" s="58">
        <f t="shared" si="27"/>
        <v>0</v>
      </c>
      <c r="Q197" s="58"/>
      <c r="R197" s="58">
        <f t="shared" si="26"/>
        <v>0</v>
      </c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5" hidden="1">
      <c r="A198" s="50"/>
      <c r="B198" s="51" t="s">
        <v>41</v>
      </c>
      <c r="C198" s="51" t="s">
        <v>0</v>
      </c>
      <c r="D198" s="51">
        <v>0.0125</v>
      </c>
      <c r="E198" s="44">
        <v>14000</v>
      </c>
      <c r="F198" s="52">
        <f t="shared" si="28"/>
        <v>175</v>
      </c>
      <c r="G198" s="51" t="s">
        <v>55</v>
      </c>
      <c r="H198" s="51" t="s">
        <v>1</v>
      </c>
      <c r="I198" s="51">
        <v>1</v>
      </c>
      <c r="J198" s="46"/>
      <c r="K198" s="51">
        <f>I198*J198</f>
        <v>0</v>
      </c>
      <c r="L198" s="51"/>
      <c r="M198" s="47"/>
      <c r="N198" s="47"/>
      <c r="O198" s="47"/>
      <c r="P198" s="58">
        <f t="shared" si="27"/>
        <v>0</v>
      </c>
      <c r="Q198" s="58"/>
      <c r="R198" s="58">
        <f t="shared" si="26"/>
        <v>0</v>
      </c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5" hidden="1">
      <c r="A199" s="74" t="s">
        <v>94</v>
      </c>
      <c r="B199" s="54"/>
      <c r="C199" s="54"/>
      <c r="D199" s="54"/>
      <c r="E199" s="56"/>
      <c r="F199" s="56">
        <f>SUM(F193:F198)</f>
        <v>1704</v>
      </c>
      <c r="G199" s="54"/>
      <c r="H199" s="54"/>
      <c r="I199" s="54"/>
      <c r="J199" s="54"/>
      <c r="K199" s="54">
        <f>SUM(K193:K197)</f>
        <v>700</v>
      </c>
      <c r="L199" s="67">
        <f>F199+K199</f>
        <v>2404</v>
      </c>
      <c r="M199" s="47"/>
      <c r="N199" s="47"/>
      <c r="O199" s="47"/>
      <c r="P199" s="58">
        <f t="shared" si="27"/>
        <v>0</v>
      </c>
      <c r="Q199" s="58"/>
      <c r="R199" s="58">
        <f t="shared" si="26"/>
        <v>0</v>
      </c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5" hidden="1">
      <c r="A200" s="50"/>
      <c r="B200" s="42" t="s">
        <v>54</v>
      </c>
      <c r="C200" s="42" t="s">
        <v>0</v>
      </c>
      <c r="D200" s="51">
        <f>2*0.04*0.04</f>
        <v>0.0032</v>
      </c>
      <c r="E200" s="44">
        <v>5500</v>
      </c>
      <c r="F200" s="52">
        <f>D200*E200</f>
        <v>17.6</v>
      </c>
      <c r="G200" s="51"/>
      <c r="H200" s="51"/>
      <c r="I200" s="51"/>
      <c r="J200" s="46"/>
      <c r="K200" s="51"/>
      <c r="L200" s="51"/>
      <c r="M200" s="47"/>
      <c r="N200" s="47"/>
      <c r="O200" s="47"/>
      <c r="P200" s="58">
        <f t="shared" si="27"/>
        <v>0</v>
      </c>
      <c r="Q200" s="58"/>
      <c r="R200" s="58">
        <f t="shared" si="26"/>
        <v>0</v>
      </c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5" hidden="1">
      <c r="A201" s="50"/>
      <c r="B201" s="51" t="s">
        <v>35</v>
      </c>
      <c r="C201" s="51" t="s">
        <v>0</v>
      </c>
      <c r="D201" s="51">
        <v>0.2</v>
      </c>
      <c r="E201" s="44">
        <v>1500</v>
      </c>
      <c r="F201" s="52">
        <f>D201*E201</f>
        <v>300</v>
      </c>
      <c r="G201" s="51"/>
      <c r="H201" s="51"/>
      <c r="I201" s="51"/>
      <c r="J201" s="46"/>
      <c r="K201" s="51"/>
      <c r="L201" s="51"/>
      <c r="M201" s="47"/>
      <c r="N201" s="47"/>
      <c r="O201" s="47"/>
      <c r="P201" s="58">
        <f t="shared" si="27"/>
        <v>0</v>
      </c>
      <c r="Q201" s="58"/>
      <c r="R201" s="58">
        <f t="shared" si="26"/>
        <v>0</v>
      </c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5" hidden="1">
      <c r="A202" s="50"/>
      <c r="B202" s="51" t="s">
        <v>36</v>
      </c>
      <c r="C202" s="51" t="s">
        <v>1</v>
      </c>
      <c r="D202" s="51">
        <v>2</v>
      </c>
      <c r="E202" s="44">
        <v>40</v>
      </c>
      <c r="F202" s="52">
        <f>D202*E202</f>
        <v>80</v>
      </c>
      <c r="G202" s="51"/>
      <c r="H202" s="51"/>
      <c r="I202" s="51"/>
      <c r="J202" s="46">
        <v>200</v>
      </c>
      <c r="K202" s="51"/>
      <c r="L202" s="51"/>
      <c r="M202" s="47"/>
      <c r="N202" s="47"/>
      <c r="O202" s="47"/>
      <c r="P202" s="58">
        <f t="shared" si="27"/>
        <v>0</v>
      </c>
      <c r="Q202" s="58"/>
      <c r="R202" s="58">
        <f t="shared" si="26"/>
        <v>0</v>
      </c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5" hidden="1">
      <c r="A203" s="50"/>
      <c r="B203" s="71" t="s">
        <v>80</v>
      </c>
      <c r="C203" s="42" t="s">
        <v>22</v>
      </c>
      <c r="D203" s="51"/>
      <c r="E203" s="44"/>
      <c r="F203" s="52">
        <v>50</v>
      </c>
      <c r="G203" s="51" t="s">
        <v>81</v>
      </c>
      <c r="H203" s="51"/>
      <c r="I203" s="51"/>
      <c r="J203" s="46"/>
      <c r="K203" s="51">
        <v>50</v>
      </c>
      <c r="L203" s="51"/>
      <c r="M203" s="47"/>
      <c r="N203" s="47"/>
      <c r="O203" s="47"/>
      <c r="P203" s="58">
        <f t="shared" si="27"/>
        <v>0</v>
      </c>
      <c r="Q203" s="58"/>
      <c r="R203" s="58">
        <f t="shared" si="26"/>
        <v>0</v>
      </c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5" hidden="1">
      <c r="A204" s="50"/>
      <c r="B204" s="51" t="s">
        <v>23</v>
      </c>
      <c r="C204" s="51" t="s">
        <v>2</v>
      </c>
      <c r="D204" s="51">
        <f>1/0.08*3</f>
        <v>37.5</v>
      </c>
      <c r="E204" s="44">
        <v>1.2</v>
      </c>
      <c r="F204" s="52">
        <f>D204*E204</f>
        <v>45</v>
      </c>
      <c r="G204" s="51"/>
      <c r="H204" s="51"/>
      <c r="I204" s="51"/>
      <c r="J204" s="46"/>
      <c r="K204" s="51"/>
      <c r="L204" s="51"/>
      <c r="M204" s="47"/>
      <c r="N204" s="47"/>
      <c r="O204" s="47"/>
      <c r="P204" s="58">
        <f t="shared" si="27"/>
        <v>0</v>
      </c>
      <c r="Q204" s="58"/>
      <c r="R204" s="58">
        <f t="shared" si="26"/>
        <v>0</v>
      </c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5" hidden="1">
      <c r="A205" s="74" t="s">
        <v>95</v>
      </c>
      <c r="B205" s="54"/>
      <c r="C205" s="55" t="s">
        <v>1</v>
      </c>
      <c r="D205" s="54"/>
      <c r="E205" s="56"/>
      <c r="F205" s="56">
        <f>SUM(F199:F204)</f>
        <v>2196.6</v>
      </c>
      <c r="G205" s="54"/>
      <c r="H205" s="54"/>
      <c r="I205" s="54"/>
      <c r="J205" s="54"/>
      <c r="K205" s="54">
        <f>SUM(K199:K203)</f>
        <v>750</v>
      </c>
      <c r="L205" s="67">
        <f>F205+K205</f>
        <v>2946.6</v>
      </c>
      <c r="M205" s="47"/>
      <c r="N205" s="47"/>
      <c r="O205" s="47"/>
      <c r="P205" s="58">
        <f t="shared" si="27"/>
        <v>0</v>
      </c>
      <c r="Q205" s="58"/>
      <c r="R205" s="58">
        <f t="shared" si="26"/>
        <v>0</v>
      </c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5" hidden="1">
      <c r="A206" s="50"/>
      <c r="B206" s="51"/>
      <c r="C206" s="51"/>
      <c r="D206" s="51"/>
      <c r="E206" s="52"/>
      <c r="F206" s="52"/>
      <c r="G206" s="51"/>
      <c r="H206" s="51"/>
      <c r="I206" s="51"/>
      <c r="J206" s="51"/>
      <c r="K206" s="51"/>
      <c r="L206" s="51"/>
      <c r="M206" s="47"/>
      <c r="N206" s="47"/>
      <c r="O206" s="47"/>
      <c r="P206" s="58">
        <f t="shared" si="27"/>
        <v>0</v>
      </c>
      <c r="Q206" s="58"/>
      <c r="R206" s="58">
        <f t="shared" si="26"/>
        <v>0</v>
      </c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5" hidden="1">
      <c r="A207" s="50"/>
      <c r="B207" s="51"/>
      <c r="C207" s="51"/>
      <c r="D207" s="51"/>
      <c r="E207" s="52"/>
      <c r="F207" s="52"/>
      <c r="G207" s="51"/>
      <c r="H207" s="51"/>
      <c r="I207" s="51"/>
      <c r="J207" s="51"/>
      <c r="K207" s="51"/>
      <c r="L207" s="51"/>
      <c r="M207" s="47"/>
      <c r="N207" s="47"/>
      <c r="O207" s="47"/>
      <c r="P207" s="58">
        <f t="shared" si="27"/>
        <v>0</v>
      </c>
      <c r="Q207" s="58"/>
      <c r="R207" s="58">
        <f t="shared" si="26"/>
        <v>0</v>
      </c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s="5" customFormat="1" ht="31.5" hidden="1">
      <c r="A208" s="41" t="s">
        <v>96</v>
      </c>
      <c r="B208" s="65" t="s">
        <v>10</v>
      </c>
      <c r="C208" s="42" t="s">
        <v>1</v>
      </c>
      <c r="D208" s="42"/>
      <c r="E208" s="44"/>
      <c r="F208" s="45"/>
      <c r="G208" s="65" t="s">
        <v>5</v>
      </c>
      <c r="H208" s="42"/>
      <c r="I208" s="42"/>
      <c r="J208" s="46"/>
      <c r="K208" s="42"/>
      <c r="L208" s="42"/>
      <c r="M208" s="42"/>
      <c r="N208" s="42"/>
      <c r="O208" s="42"/>
      <c r="P208" s="58">
        <f t="shared" si="27"/>
        <v>0</v>
      </c>
      <c r="Q208" s="58"/>
      <c r="R208" s="58">
        <f t="shared" si="26"/>
        <v>0</v>
      </c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5" hidden="1">
      <c r="A209" s="50" t="s">
        <v>26</v>
      </c>
      <c r="B209" s="51" t="s">
        <v>26</v>
      </c>
      <c r="C209" s="51" t="s">
        <v>0</v>
      </c>
      <c r="D209" s="51">
        <v>0.25</v>
      </c>
      <c r="E209" s="66">
        <f>E185*0.75</f>
        <v>11319.554060998198</v>
      </c>
      <c r="F209" s="52">
        <f>D209*E209</f>
        <v>2829.8885152495495</v>
      </c>
      <c r="G209" s="51"/>
      <c r="H209" s="51"/>
      <c r="I209" s="51"/>
      <c r="J209" s="46"/>
      <c r="K209" s="51"/>
      <c r="L209" s="51"/>
      <c r="M209" s="47"/>
      <c r="N209" s="47"/>
      <c r="O209" s="47"/>
      <c r="P209" s="58">
        <f t="shared" si="27"/>
        <v>0</v>
      </c>
      <c r="Q209" s="58"/>
      <c r="R209" s="58">
        <f t="shared" si="26"/>
        <v>0</v>
      </c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5" hidden="1">
      <c r="A210" s="50"/>
      <c r="B210" s="51" t="s">
        <v>27</v>
      </c>
      <c r="C210" s="51" t="s">
        <v>22</v>
      </c>
      <c r="D210" s="51">
        <v>1</v>
      </c>
      <c r="E210" s="44">
        <v>12</v>
      </c>
      <c r="F210" s="52">
        <f>D210*E210</f>
        <v>12</v>
      </c>
      <c r="G210" s="51"/>
      <c r="H210" s="51"/>
      <c r="I210" s="51"/>
      <c r="J210" s="46"/>
      <c r="K210" s="51">
        <f>I210*J210</f>
        <v>0</v>
      </c>
      <c r="L210" s="51"/>
      <c r="M210" s="47"/>
      <c r="N210" s="47"/>
      <c r="O210" s="47"/>
      <c r="P210" s="58">
        <f t="shared" si="27"/>
        <v>0</v>
      </c>
      <c r="Q210" s="58"/>
      <c r="R210" s="58">
        <f t="shared" si="26"/>
        <v>0</v>
      </c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5" hidden="1">
      <c r="A211" s="50"/>
      <c r="B211" s="51" t="s">
        <v>28</v>
      </c>
      <c r="C211" s="51" t="s">
        <v>29</v>
      </c>
      <c r="D211" s="51">
        <v>0.3</v>
      </c>
      <c r="E211" s="44">
        <v>260</v>
      </c>
      <c r="F211" s="52">
        <f>D211*E211</f>
        <v>78</v>
      </c>
      <c r="G211" s="51" t="s">
        <v>30</v>
      </c>
      <c r="H211" s="51" t="s">
        <v>1</v>
      </c>
      <c r="I211" s="51">
        <v>1</v>
      </c>
      <c r="J211" s="46">
        <v>245</v>
      </c>
      <c r="K211" s="51">
        <f>I211*J211</f>
        <v>245</v>
      </c>
      <c r="L211" s="51"/>
      <c r="M211" s="47"/>
      <c r="N211" s="47"/>
      <c r="O211" s="47"/>
      <c r="P211" s="58">
        <f t="shared" si="27"/>
        <v>0</v>
      </c>
      <c r="Q211" s="58"/>
      <c r="R211" s="58">
        <f t="shared" si="26"/>
        <v>0</v>
      </c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5" hidden="1">
      <c r="A212" s="50"/>
      <c r="B212" s="51" t="s">
        <v>31</v>
      </c>
      <c r="C212" s="51" t="s">
        <v>2</v>
      </c>
      <c r="D212" s="51">
        <v>0.1</v>
      </c>
      <c r="E212" s="44">
        <v>100</v>
      </c>
      <c r="F212" s="52">
        <f>D212*E212</f>
        <v>10</v>
      </c>
      <c r="G212" s="51" t="s">
        <v>32</v>
      </c>
      <c r="H212" s="51" t="s">
        <v>1</v>
      </c>
      <c r="I212" s="51">
        <v>1</v>
      </c>
      <c r="J212" s="46">
        <v>60</v>
      </c>
      <c r="K212" s="51">
        <f>I212*J212</f>
        <v>60</v>
      </c>
      <c r="L212" s="51"/>
      <c r="M212" s="47"/>
      <c r="N212" s="47"/>
      <c r="O212" s="47"/>
      <c r="P212" s="58">
        <f t="shared" si="27"/>
        <v>0</v>
      </c>
      <c r="Q212" s="58"/>
      <c r="R212" s="58">
        <f t="shared" si="26"/>
        <v>0</v>
      </c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s="3" customFormat="1" ht="12.75" hidden="1">
      <c r="A213" s="54"/>
      <c r="B213" s="54"/>
      <c r="C213" s="55" t="s">
        <v>1</v>
      </c>
      <c r="D213" s="54"/>
      <c r="E213" s="56"/>
      <c r="F213" s="56">
        <f>SUM(F209:F212)</f>
        <v>2929.8885152495495</v>
      </c>
      <c r="G213" s="54"/>
      <c r="H213" s="54" t="s">
        <v>1</v>
      </c>
      <c r="I213" s="54"/>
      <c r="J213" s="54"/>
      <c r="K213" s="54">
        <f>SUM(K210:K212)</f>
        <v>305</v>
      </c>
      <c r="L213" s="55">
        <f>F213+K213</f>
        <v>3234.8885152495495</v>
      </c>
      <c r="M213" s="42"/>
      <c r="N213" s="42"/>
      <c r="O213" s="42"/>
      <c r="P213" s="58">
        <f t="shared" si="27"/>
        <v>0</v>
      </c>
      <c r="Q213" s="58"/>
      <c r="R213" s="58">
        <f aca="true" t="shared" si="29" ref="R213:R265">P213*$M$273</f>
        <v>0</v>
      </c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5" hidden="1">
      <c r="A214" s="50"/>
      <c r="B214" s="51"/>
      <c r="C214" s="51"/>
      <c r="D214" s="51"/>
      <c r="E214" s="52"/>
      <c r="F214" s="52"/>
      <c r="G214" s="51"/>
      <c r="H214" s="51"/>
      <c r="I214" s="51"/>
      <c r="J214" s="51"/>
      <c r="K214" s="51"/>
      <c r="L214" s="51"/>
      <c r="M214" s="47"/>
      <c r="N214" s="47"/>
      <c r="O214" s="47"/>
      <c r="P214" s="58">
        <f t="shared" si="27"/>
        <v>0</v>
      </c>
      <c r="Q214" s="58"/>
      <c r="R214" s="58">
        <f t="shared" si="29"/>
        <v>0</v>
      </c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5" hidden="1">
      <c r="A215" s="50"/>
      <c r="B215" s="51"/>
      <c r="C215" s="51"/>
      <c r="D215" s="51"/>
      <c r="E215" s="52"/>
      <c r="F215" s="52"/>
      <c r="G215" s="51"/>
      <c r="H215" s="51"/>
      <c r="I215" s="51"/>
      <c r="J215" s="51"/>
      <c r="K215" s="51"/>
      <c r="L215" s="51"/>
      <c r="M215" s="47"/>
      <c r="N215" s="47"/>
      <c r="O215" s="47"/>
      <c r="P215" s="58">
        <f t="shared" si="27"/>
        <v>0</v>
      </c>
      <c r="Q215" s="58"/>
      <c r="R215" s="58">
        <f t="shared" si="29"/>
        <v>0</v>
      </c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5.75" hidden="1">
      <c r="A216" s="41" t="s">
        <v>108</v>
      </c>
      <c r="B216" s="42"/>
      <c r="C216" s="42" t="s">
        <v>1</v>
      </c>
      <c r="D216" s="42"/>
      <c r="E216" s="44"/>
      <c r="F216" s="45"/>
      <c r="G216" s="42"/>
      <c r="H216" s="42"/>
      <c r="I216" s="42"/>
      <c r="J216" s="46"/>
      <c r="K216" s="42"/>
      <c r="L216" s="42"/>
      <c r="M216" s="47"/>
      <c r="N216" s="47"/>
      <c r="O216" s="47"/>
      <c r="P216" s="58">
        <f t="shared" si="27"/>
        <v>0</v>
      </c>
      <c r="Q216" s="58"/>
      <c r="R216" s="58">
        <f t="shared" si="29"/>
        <v>0</v>
      </c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5" hidden="1">
      <c r="A217" s="50"/>
      <c r="B217" s="51" t="s">
        <v>66</v>
      </c>
      <c r="C217" s="51" t="s">
        <v>1</v>
      </c>
      <c r="D217" s="51">
        <v>0.04</v>
      </c>
      <c r="E217" s="79">
        <f>24000</f>
        <v>24000</v>
      </c>
      <c r="F217" s="52">
        <f>D217*E217+500</f>
        <v>1460</v>
      </c>
      <c r="G217" s="51"/>
      <c r="H217" s="51"/>
      <c r="I217" s="51"/>
      <c r="J217" s="46"/>
      <c r="K217" s="51"/>
      <c r="L217" s="51"/>
      <c r="M217" s="47"/>
      <c r="N217" s="47"/>
      <c r="O217" s="47"/>
      <c r="P217" s="58">
        <f t="shared" si="27"/>
        <v>0</v>
      </c>
      <c r="Q217" s="58"/>
      <c r="R217" s="58">
        <f t="shared" si="29"/>
        <v>0</v>
      </c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5" hidden="1">
      <c r="A218" s="50"/>
      <c r="B218" s="51" t="s">
        <v>67</v>
      </c>
      <c r="C218" s="51" t="s">
        <v>0</v>
      </c>
      <c r="D218" s="51">
        <f>0.1*0.2*10/7</f>
        <v>0.028571428571428577</v>
      </c>
      <c r="E218" s="44">
        <v>5500</v>
      </c>
      <c r="F218" s="52">
        <f>D218*E218</f>
        <v>157.14285714285717</v>
      </c>
      <c r="G218" s="51"/>
      <c r="H218" s="51"/>
      <c r="I218" s="51"/>
      <c r="J218" s="46"/>
      <c r="K218" s="51"/>
      <c r="L218" s="51"/>
      <c r="M218" s="47"/>
      <c r="N218" s="47"/>
      <c r="O218" s="47"/>
      <c r="P218" s="58">
        <f t="shared" si="27"/>
        <v>0</v>
      </c>
      <c r="Q218" s="58"/>
      <c r="R218" s="58">
        <f t="shared" si="29"/>
        <v>0</v>
      </c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5" hidden="1">
      <c r="A219" s="50"/>
      <c r="B219" s="51" t="s">
        <v>68</v>
      </c>
      <c r="C219" s="51" t="s">
        <v>22</v>
      </c>
      <c r="D219" s="51">
        <v>0.7</v>
      </c>
      <c r="E219" s="44">
        <v>1000</v>
      </c>
      <c r="F219" s="52">
        <f>D219*E219</f>
        <v>700</v>
      </c>
      <c r="G219" s="51"/>
      <c r="H219" s="51"/>
      <c r="I219" s="51"/>
      <c r="J219" s="46"/>
      <c r="K219" s="51"/>
      <c r="L219" s="51"/>
      <c r="M219" s="47"/>
      <c r="N219" s="47"/>
      <c r="O219" s="47"/>
      <c r="P219" s="58">
        <f t="shared" si="27"/>
        <v>0</v>
      </c>
      <c r="Q219" s="58"/>
      <c r="R219" s="58">
        <f t="shared" si="29"/>
        <v>0</v>
      </c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5" hidden="1">
      <c r="A220" s="50"/>
      <c r="B220" s="51" t="s">
        <v>23</v>
      </c>
      <c r="C220" s="51" t="s">
        <v>2</v>
      </c>
      <c r="D220" s="51">
        <v>20</v>
      </c>
      <c r="E220" s="44">
        <v>1</v>
      </c>
      <c r="F220" s="52">
        <f>D220*E220</f>
        <v>20</v>
      </c>
      <c r="G220" s="51" t="s">
        <v>69</v>
      </c>
      <c r="H220" s="51" t="s">
        <v>1</v>
      </c>
      <c r="I220" s="51">
        <v>1</v>
      </c>
      <c r="J220" s="46">
        <v>400</v>
      </c>
      <c r="K220" s="51">
        <f>I220*J220</f>
        <v>400</v>
      </c>
      <c r="L220" s="51"/>
      <c r="M220" s="47"/>
      <c r="N220" s="47"/>
      <c r="O220" s="47"/>
      <c r="P220" s="58">
        <f t="shared" si="27"/>
        <v>0</v>
      </c>
      <c r="Q220" s="58"/>
      <c r="R220" s="58">
        <f t="shared" si="29"/>
        <v>0</v>
      </c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5" hidden="1">
      <c r="A221" s="74" t="s">
        <v>107</v>
      </c>
      <c r="B221" s="54"/>
      <c r="C221" s="55" t="s">
        <v>1</v>
      </c>
      <c r="D221" s="54"/>
      <c r="E221" s="56"/>
      <c r="F221" s="56">
        <f>SUM(F217:F220)</f>
        <v>2337.142857142857</v>
      </c>
      <c r="G221" s="54"/>
      <c r="H221" s="54" t="s">
        <v>1</v>
      </c>
      <c r="I221" s="54"/>
      <c r="J221" s="72"/>
      <c r="K221" s="54">
        <f>SUM(K218:K220)</f>
        <v>400</v>
      </c>
      <c r="L221" s="55">
        <f>F221+K221</f>
        <v>2737.142857142857</v>
      </c>
      <c r="M221" s="47"/>
      <c r="N221" s="47"/>
      <c r="O221" s="47"/>
      <c r="P221" s="58">
        <f t="shared" si="27"/>
        <v>0</v>
      </c>
      <c r="Q221" s="58"/>
      <c r="R221" s="58">
        <f t="shared" si="29"/>
        <v>0</v>
      </c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5" hidden="1">
      <c r="A222" s="50"/>
      <c r="B222" s="51"/>
      <c r="C222" s="51"/>
      <c r="D222" s="51"/>
      <c r="E222" s="52"/>
      <c r="F222" s="52"/>
      <c r="G222" s="51"/>
      <c r="H222" s="51"/>
      <c r="I222" s="51"/>
      <c r="J222" s="51"/>
      <c r="K222" s="51"/>
      <c r="L222" s="51"/>
      <c r="M222" s="47"/>
      <c r="N222" s="47"/>
      <c r="O222" s="47"/>
      <c r="P222" s="58">
        <f t="shared" si="27"/>
        <v>0</v>
      </c>
      <c r="Q222" s="58"/>
      <c r="R222" s="58">
        <f t="shared" si="29"/>
        <v>0</v>
      </c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39.75" customHeight="1" hidden="1">
      <c r="A223" s="41" t="s">
        <v>99</v>
      </c>
      <c r="B223" s="42"/>
      <c r="C223" s="43" t="s">
        <v>17</v>
      </c>
      <c r="D223" s="42"/>
      <c r="E223" s="44"/>
      <c r="F223" s="45"/>
      <c r="G223" s="42"/>
      <c r="H223" s="42"/>
      <c r="I223" s="42"/>
      <c r="J223" s="46"/>
      <c r="K223" s="42"/>
      <c r="L223" s="42"/>
      <c r="M223" s="47"/>
      <c r="N223" s="47"/>
      <c r="O223" s="47"/>
      <c r="P223" s="58">
        <f t="shared" si="27"/>
        <v>0</v>
      </c>
      <c r="Q223" s="58"/>
      <c r="R223" s="58">
        <f t="shared" si="29"/>
        <v>0</v>
      </c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26.25" hidden="1">
      <c r="A224" s="50" t="s">
        <v>18</v>
      </c>
      <c r="B224" s="51"/>
      <c r="C224" s="51"/>
      <c r="D224" s="51"/>
      <c r="E224" s="44"/>
      <c r="F224" s="52"/>
      <c r="G224" s="51"/>
      <c r="H224" s="51"/>
      <c r="I224" s="51"/>
      <c r="J224" s="46"/>
      <c r="K224" s="51"/>
      <c r="L224" s="51"/>
      <c r="M224" s="47"/>
      <c r="N224" s="47"/>
      <c r="O224" s="47"/>
      <c r="P224" s="58">
        <f t="shared" si="27"/>
        <v>0</v>
      </c>
      <c r="Q224" s="58"/>
      <c r="R224" s="58">
        <f t="shared" si="29"/>
        <v>0</v>
      </c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5" hidden="1">
      <c r="A225" s="50"/>
      <c r="B225" s="64" t="s">
        <v>102</v>
      </c>
      <c r="C225" s="64" t="s">
        <v>0</v>
      </c>
      <c r="D225" s="64">
        <f>0.15*1.5</f>
        <v>0.22499999999999998</v>
      </c>
      <c r="E225" s="44">
        <f>800*2.6+10000/20</f>
        <v>2580</v>
      </c>
      <c r="F225" s="52">
        <f aca="true" t="shared" si="30" ref="F225:F232">D225*E225</f>
        <v>580.4999999999999</v>
      </c>
      <c r="G225" s="51"/>
      <c r="H225" s="51"/>
      <c r="I225" s="51">
        <f>D225</f>
        <v>0.22499999999999998</v>
      </c>
      <c r="J225" s="46">
        <v>800</v>
      </c>
      <c r="K225" s="51">
        <f aca="true" t="shared" si="31" ref="K225:K231">I225*J225</f>
        <v>179.99999999999997</v>
      </c>
      <c r="L225" s="51"/>
      <c r="M225" s="47"/>
      <c r="N225" s="47"/>
      <c r="O225" s="47"/>
      <c r="P225" s="58">
        <f t="shared" si="27"/>
        <v>0</v>
      </c>
      <c r="Q225" s="58"/>
      <c r="R225" s="58">
        <f t="shared" si="29"/>
        <v>0</v>
      </c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5" hidden="1">
      <c r="A226" s="50"/>
      <c r="B226" s="64" t="s">
        <v>101</v>
      </c>
      <c r="C226" s="64" t="s">
        <v>0</v>
      </c>
      <c r="D226" s="51">
        <f>0.1*1+0.05*1.2</f>
        <v>0.16</v>
      </c>
      <c r="E226" s="44">
        <v>4000</v>
      </c>
      <c r="F226" s="52">
        <f t="shared" si="30"/>
        <v>640</v>
      </c>
      <c r="G226" s="51"/>
      <c r="H226" s="51"/>
      <c r="I226" s="51">
        <f>D226</f>
        <v>0.16</v>
      </c>
      <c r="J226" s="46">
        <v>100</v>
      </c>
      <c r="K226" s="51">
        <f t="shared" si="31"/>
        <v>16</v>
      </c>
      <c r="L226" s="51"/>
      <c r="M226" s="47"/>
      <c r="N226" s="47"/>
      <c r="O226" s="47"/>
      <c r="P226" s="58">
        <f t="shared" si="27"/>
        <v>0</v>
      </c>
      <c r="Q226" s="58"/>
      <c r="R226" s="58">
        <f t="shared" si="29"/>
        <v>0</v>
      </c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5" hidden="1">
      <c r="A227" s="50"/>
      <c r="B227" s="64" t="s">
        <v>100</v>
      </c>
      <c r="C227" s="64" t="s">
        <v>0</v>
      </c>
      <c r="D227" s="64">
        <f>0.5*0.5</f>
        <v>0.25</v>
      </c>
      <c r="E227" s="52">
        <f>300+10000/20</f>
        <v>800</v>
      </c>
      <c r="F227" s="52">
        <f t="shared" si="30"/>
        <v>200</v>
      </c>
      <c r="G227" s="51"/>
      <c r="H227" s="51"/>
      <c r="I227" s="51">
        <f>D227</f>
        <v>0.25</v>
      </c>
      <c r="J227" s="46">
        <f>800+800</f>
        <v>1600</v>
      </c>
      <c r="K227" s="51">
        <f t="shared" si="31"/>
        <v>400</v>
      </c>
      <c r="L227" s="51"/>
      <c r="M227" s="47"/>
      <c r="N227" s="47"/>
      <c r="O227" s="47"/>
      <c r="P227" s="58">
        <f t="shared" si="27"/>
        <v>0</v>
      </c>
      <c r="Q227" s="58"/>
      <c r="R227" s="58">
        <f t="shared" si="29"/>
        <v>0</v>
      </c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5" hidden="1">
      <c r="A228" s="50"/>
      <c r="B228" s="51" t="s">
        <v>19</v>
      </c>
      <c r="C228" s="51" t="s">
        <v>0</v>
      </c>
      <c r="D228" s="51">
        <f>0.3*0.8</f>
        <v>0.24</v>
      </c>
      <c r="E228" s="44">
        <v>7000</v>
      </c>
      <c r="F228" s="52">
        <f t="shared" si="30"/>
        <v>1680</v>
      </c>
      <c r="G228" s="51"/>
      <c r="H228" s="51"/>
      <c r="I228" s="51"/>
      <c r="J228" s="46"/>
      <c r="K228" s="51">
        <f t="shared" si="31"/>
        <v>0</v>
      </c>
      <c r="L228" s="51"/>
      <c r="M228" s="47"/>
      <c r="N228" s="47"/>
      <c r="O228" s="47"/>
      <c r="P228" s="58">
        <f t="shared" si="27"/>
        <v>0</v>
      </c>
      <c r="Q228" s="58"/>
      <c r="R228" s="58">
        <f t="shared" si="29"/>
        <v>0</v>
      </c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5" hidden="1">
      <c r="A229" s="50"/>
      <c r="B229" s="51" t="s">
        <v>20</v>
      </c>
      <c r="C229" s="51" t="s">
        <v>1</v>
      </c>
      <c r="D229" s="51">
        <f>1.5*1*2</f>
        <v>3</v>
      </c>
      <c r="E229" s="44">
        <v>175</v>
      </c>
      <c r="F229" s="52">
        <f t="shared" si="30"/>
        <v>525</v>
      </c>
      <c r="G229" s="51"/>
      <c r="H229" s="51"/>
      <c r="I229" s="51"/>
      <c r="J229" s="46"/>
      <c r="K229" s="51">
        <f t="shared" si="31"/>
        <v>0</v>
      </c>
      <c r="L229" s="51"/>
      <c r="M229" s="47"/>
      <c r="N229" s="47"/>
      <c r="O229" s="47"/>
      <c r="P229" s="58">
        <f t="shared" si="27"/>
        <v>0</v>
      </c>
      <c r="Q229" s="58"/>
      <c r="R229" s="58">
        <f t="shared" si="29"/>
        <v>0</v>
      </c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5" hidden="1">
      <c r="A230" s="50"/>
      <c r="B230" s="51" t="s">
        <v>21</v>
      </c>
      <c r="C230" s="51" t="s">
        <v>22</v>
      </c>
      <c r="D230" s="51">
        <f>(0.8*2+0.3*2)*3.3</f>
        <v>7.26</v>
      </c>
      <c r="E230" s="44">
        <v>17</v>
      </c>
      <c r="F230" s="52">
        <f t="shared" si="30"/>
        <v>123.42</v>
      </c>
      <c r="G230" s="51"/>
      <c r="H230" s="51"/>
      <c r="I230" s="51"/>
      <c r="J230" s="46"/>
      <c r="K230" s="51">
        <f t="shared" si="31"/>
        <v>0</v>
      </c>
      <c r="L230" s="51"/>
      <c r="M230" s="47"/>
      <c r="N230" s="47"/>
      <c r="O230" s="47"/>
      <c r="P230" s="58">
        <f t="shared" si="27"/>
        <v>0</v>
      </c>
      <c r="Q230" s="58"/>
      <c r="R230" s="58">
        <f t="shared" si="29"/>
        <v>0</v>
      </c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5" hidden="1">
      <c r="A231" s="50"/>
      <c r="B231" s="51" t="s">
        <v>23</v>
      </c>
      <c r="C231" s="51" t="s">
        <v>2</v>
      </c>
      <c r="D231" s="51">
        <f>10*3.33</f>
        <v>33.3</v>
      </c>
      <c r="E231" s="44">
        <v>1</v>
      </c>
      <c r="F231" s="52">
        <f t="shared" si="30"/>
        <v>33.3</v>
      </c>
      <c r="G231" s="51"/>
      <c r="H231" s="51"/>
      <c r="I231" s="51"/>
      <c r="J231" s="46"/>
      <c r="K231" s="51">
        <f t="shared" si="31"/>
        <v>0</v>
      </c>
      <c r="L231" s="51"/>
      <c r="M231" s="47"/>
      <c r="N231" s="47"/>
      <c r="O231" s="47"/>
      <c r="P231" s="58">
        <f t="shared" si="27"/>
        <v>0</v>
      </c>
      <c r="Q231" s="58"/>
      <c r="R231" s="58">
        <f t="shared" si="29"/>
        <v>0</v>
      </c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5" hidden="1">
      <c r="A232" s="50"/>
      <c r="B232" s="51" t="s">
        <v>24</v>
      </c>
      <c r="C232" s="51" t="s">
        <v>1</v>
      </c>
      <c r="D232" s="51">
        <f>0.3+1.5</f>
        <v>1.8</v>
      </c>
      <c r="E232" s="44">
        <v>70</v>
      </c>
      <c r="F232" s="52">
        <f t="shared" si="30"/>
        <v>126</v>
      </c>
      <c r="G232" s="51" t="s">
        <v>25</v>
      </c>
      <c r="H232" s="51" t="s">
        <v>0</v>
      </c>
      <c r="I232" s="51">
        <f>D228</f>
        <v>0.24</v>
      </c>
      <c r="J232" s="46">
        <v>2500</v>
      </c>
      <c r="K232" s="51">
        <f>I232*J232</f>
        <v>600</v>
      </c>
      <c r="L232" s="51"/>
      <c r="M232" s="47"/>
      <c r="N232" s="47"/>
      <c r="O232" s="47"/>
      <c r="P232" s="58">
        <f t="shared" si="27"/>
        <v>0</v>
      </c>
      <c r="Q232" s="58"/>
      <c r="R232" s="58">
        <f t="shared" si="29"/>
        <v>0</v>
      </c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s="3" customFormat="1" ht="12.75" hidden="1">
      <c r="A233" s="53" t="s">
        <v>7</v>
      </c>
      <c r="B233" s="54"/>
      <c r="C233" s="55" t="s">
        <v>17</v>
      </c>
      <c r="D233" s="54"/>
      <c r="E233" s="56"/>
      <c r="F233" s="57">
        <f>SUM(F225:F232)</f>
        <v>3908.2200000000003</v>
      </c>
      <c r="G233" s="54"/>
      <c r="H233" s="54"/>
      <c r="I233" s="54"/>
      <c r="J233" s="54"/>
      <c r="K233" s="55">
        <f>SUM(K225:K232)</f>
        <v>1196</v>
      </c>
      <c r="L233" s="55">
        <f>F233+K233</f>
        <v>5104.22</v>
      </c>
      <c r="M233" s="42"/>
      <c r="N233" s="42"/>
      <c r="O233" s="42"/>
      <c r="P233" s="58">
        <f t="shared" si="27"/>
        <v>0</v>
      </c>
      <c r="Q233" s="58"/>
      <c r="R233" s="58">
        <f t="shared" si="29"/>
        <v>0</v>
      </c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18" s="4" customFormat="1" ht="12.75" hidden="1">
      <c r="A234" s="59"/>
      <c r="B234" s="61"/>
      <c r="C234" s="68"/>
      <c r="D234" s="61"/>
      <c r="E234" s="62"/>
      <c r="F234" s="80"/>
      <c r="G234" s="61"/>
      <c r="H234" s="61"/>
      <c r="I234" s="61"/>
      <c r="J234" s="61"/>
      <c r="K234" s="68"/>
      <c r="L234" s="68"/>
      <c r="M234" s="61"/>
      <c r="N234" s="61"/>
      <c r="O234" s="61"/>
      <c r="P234" s="58">
        <f t="shared" si="27"/>
        <v>0</v>
      </c>
      <c r="Q234" s="58"/>
      <c r="R234" s="58">
        <f t="shared" si="29"/>
        <v>0</v>
      </c>
    </row>
    <row r="235" spans="1:40" ht="15" hidden="1">
      <c r="A235" s="78" t="s">
        <v>105</v>
      </c>
      <c r="B235" s="42"/>
      <c r="C235" s="43" t="s">
        <v>17</v>
      </c>
      <c r="D235" s="42"/>
      <c r="E235" s="44"/>
      <c r="F235" s="45"/>
      <c r="G235" s="42"/>
      <c r="H235" s="42"/>
      <c r="I235" s="42"/>
      <c r="J235" s="46"/>
      <c r="K235" s="42"/>
      <c r="L235" s="42"/>
      <c r="M235" s="47"/>
      <c r="N235" s="47"/>
      <c r="O235" s="47"/>
      <c r="P235" s="58">
        <f t="shared" si="27"/>
        <v>0</v>
      </c>
      <c r="Q235" s="58"/>
      <c r="R235" s="58">
        <f t="shared" si="29"/>
        <v>0</v>
      </c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5" hidden="1">
      <c r="A236" s="50"/>
      <c r="B236" s="51"/>
      <c r="C236" s="51"/>
      <c r="D236" s="51"/>
      <c r="E236" s="44"/>
      <c r="F236" s="52"/>
      <c r="G236" s="51"/>
      <c r="H236" s="51"/>
      <c r="I236" s="51"/>
      <c r="J236" s="46"/>
      <c r="K236" s="51"/>
      <c r="L236" s="51"/>
      <c r="M236" s="47"/>
      <c r="N236" s="47"/>
      <c r="O236" s="47"/>
      <c r="P236" s="58">
        <f t="shared" si="27"/>
        <v>0</v>
      </c>
      <c r="Q236" s="58"/>
      <c r="R236" s="58">
        <f t="shared" si="29"/>
        <v>0</v>
      </c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5" hidden="1">
      <c r="A237" s="50"/>
      <c r="B237" s="64" t="s">
        <v>103</v>
      </c>
      <c r="C237" s="64" t="s">
        <v>2</v>
      </c>
      <c r="D237" s="51">
        <f>1/(0.25*0.12*0.065)*0.4*0.4*1</f>
        <v>82.05128205128206</v>
      </c>
      <c r="E237" s="44">
        <v>12</v>
      </c>
      <c r="F237" s="52">
        <f>D237*E237</f>
        <v>984.6153846153848</v>
      </c>
      <c r="G237" s="51"/>
      <c r="H237" s="51"/>
      <c r="I237" s="51">
        <f>0.4*0.4*1</f>
        <v>0.16000000000000003</v>
      </c>
      <c r="J237" s="46">
        <v>900</v>
      </c>
      <c r="K237" s="51">
        <f>I237*J237</f>
        <v>144.00000000000003</v>
      </c>
      <c r="L237" s="51"/>
      <c r="M237" s="47"/>
      <c r="N237" s="47"/>
      <c r="O237" s="47"/>
      <c r="P237" s="58">
        <f t="shared" si="27"/>
        <v>0</v>
      </c>
      <c r="Q237" s="58"/>
      <c r="R237" s="58">
        <f t="shared" si="29"/>
        <v>0</v>
      </c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5" hidden="1">
      <c r="A238" s="50"/>
      <c r="B238" s="51" t="s">
        <v>20</v>
      </c>
      <c r="C238" s="51" t="s">
        <v>1</v>
      </c>
      <c r="D238" s="51">
        <f>0.3*0.4*2</f>
        <v>0.24</v>
      </c>
      <c r="E238" s="44">
        <v>175</v>
      </c>
      <c r="F238" s="52">
        <f>D238*E238</f>
        <v>42</v>
      </c>
      <c r="G238" s="51"/>
      <c r="H238" s="51"/>
      <c r="I238" s="51"/>
      <c r="J238" s="46"/>
      <c r="K238" s="51"/>
      <c r="L238" s="51"/>
      <c r="M238" s="47"/>
      <c r="N238" s="47"/>
      <c r="O238" s="47"/>
      <c r="P238" s="58">
        <f t="shared" si="27"/>
        <v>0</v>
      </c>
      <c r="Q238" s="58"/>
      <c r="R238" s="58">
        <f t="shared" si="29"/>
        <v>0</v>
      </c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5" hidden="1">
      <c r="A239" s="50"/>
      <c r="B239" s="51" t="s">
        <v>21</v>
      </c>
      <c r="C239" s="51" t="s">
        <v>22</v>
      </c>
      <c r="D239" s="51">
        <f>0.7*2</f>
        <v>1.4</v>
      </c>
      <c r="E239" s="44">
        <v>17</v>
      </c>
      <c r="F239" s="52">
        <f>D239*E239</f>
        <v>23.799999999999997</v>
      </c>
      <c r="G239" s="51"/>
      <c r="H239" s="51"/>
      <c r="I239" s="51"/>
      <c r="J239" s="46"/>
      <c r="K239" s="51"/>
      <c r="L239" s="51"/>
      <c r="M239" s="47"/>
      <c r="N239" s="47"/>
      <c r="O239" s="47"/>
      <c r="P239" s="58">
        <f t="shared" si="27"/>
        <v>0</v>
      </c>
      <c r="Q239" s="58"/>
      <c r="R239" s="58">
        <f t="shared" si="29"/>
        <v>0</v>
      </c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5" hidden="1">
      <c r="A240" s="50"/>
      <c r="B240" s="51" t="s">
        <v>23</v>
      </c>
      <c r="C240" s="51" t="s">
        <v>2</v>
      </c>
      <c r="D240" s="51">
        <v>24</v>
      </c>
      <c r="E240" s="44">
        <v>1</v>
      </c>
      <c r="F240" s="52">
        <f>D240*E240</f>
        <v>24</v>
      </c>
      <c r="G240" s="51"/>
      <c r="H240" s="51"/>
      <c r="I240" s="51"/>
      <c r="J240" s="46"/>
      <c r="K240" s="51"/>
      <c r="L240" s="51"/>
      <c r="M240" s="47"/>
      <c r="N240" s="47"/>
      <c r="O240" s="47"/>
      <c r="P240" s="58">
        <f t="shared" si="27"/>
        <v>0</v>
      </c>
      <c r="Q240" s="58"/>
      <c r="R240" s="58">
        <f t="shared" si="29"/>
        <v>0</v>
      </c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5" hidden="1">
      <c r="A241" s="50"/>
      <c r="B241" s="64" t="s">
        <v>104</v>
      </c>
      <c r="C241" s="51" t="s">
        <v>1</v>
      </c>
      <c r="D241" s="51">
        <f>0.7*1</f>
        <v>0.7</v>
      </c>
      <c r="E241" s="44">
        <v>1000</v>
      </c>
      <c r="F241" s="52">
        <f>D241*E241</f>
        <v>700</v>
      </c>
      <c r="G241" s="51" t="s">
        <v>25</v>
      </c>
      <c r="H241" s="51" t="s">
        <v>0</v>
      </c>
      <c r="I241" s="51">
        <f>D241</f>
        <v>0.7</v>
      </c>
      <c r="J241" s="46">
        <v>300</v>
      </c>
      <c r="K241" s="51">
        <f>I241*J241</f>
        <v>210</v>
      </c>
      <c r="L241" s="51"/>
      <c r="M241" s="47"/>
      <c r="N241" s="47"/>
      <c r="O241" s="47"/>
      <c r="P241" s="58">
        <f t="shared" si="27"/>
        <v>0</v>
      </c>
      <c r="Q241" s="58"/>
      <c r="R241" s="58">
        <f t="shared" si="29"/>
        <v>0</v>
      </c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s="3" customFormat="1" ht="30" customHeight="1" hidden="1">
      <c r="A242" s="74" t="s">
        <v>105</v>
      </c>
      <c r="B242" s="54"/>
      <c r="C242" s="55" t="s">
        <v>17</v>
      </c>
      <c r="D242" s="54"/>
      <c r="E242" s="56"/>
      <c r="F242" s="57">
        <f>SUM(F237:F241)</f>
        <v>1774.4153846153847</v>
      </c>
      <c r="G242" s="54"/>
      <c r="H242" s="54"/>
      <c r="I242" s="54"/>
      <c r="J242" s="54"/>
      <c r="K242" s="55">
        <f>SUM(K238:K241)</f>
        <v>210</v>
      </c>
      <c r="L242" s="55">
        <f>F242+K242</f>
        <v>1984.4153846153847</v>
      </c>
      <c r="M242" s="42"/>
      <c r="N242" s="42"/>
      <c r="O242" s="42"/>
      <c r="P242" s="58">
        <f t="shared" si="27"/>
        <v>0</v>
      </c>
      <c r="Q242" s="58"/>
      <c r="R242" s="58">
        <f t="shared" si="29"/>
        <v>0</v>
      </c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5" hidden="1">
      <c r="A243" s="50"/>
      <c r="B243" s="51"/>
      <c r="C243" s="51"/>
      <c r="D243" s="51"/>
      <c r="E243" s="52"/>
      <c r="F243" s="52"/>
      <c r="G243" s="51"/>
      <c r="H243" s="51"/>
      <c r="I243" s="51"/>
      <c r="J243" s="51"/>
      <c r="K243" s="51"/>
      <c r="L243" s="51"/>
      <c r="M243" s="47"/>
      <c r="N243" s="47"/>
      <c r="O243" s="47"/>
      <c r="P243" s="58">
        <f aca="true" t="shared" si="32" ref="P243:P248">L243*M243</f>
        <v>0</v>
      </c>
      <c r="Q243" s="58"/>
      <c r="R243" s="58">
        <f t="shared" si="29"/>
        <v>0</v>
      </c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5" hidden="1">
      <c r="A244" s="78" t="s">
        <v>109</v>
      </c>
      <c r="B244" s="42"/>
      <c r="C244" s="43" t="s">
        <v>17</v>
      </c>
      <c r="D244" s="42"/>
      <c r="E244" s="44"/>
      <c r="F244" s="45"/>
      <c r="G244" s="42"/>
      <c r="H244" s="42"/>
      <c r="I244" s="42"/>
      <c r="J244" s="46"/>
      <c r="K244" s="42"/>
      <c r="L244" s="42"/>
      <c r="M244" s="47"/>
      <c r="N244" s="47"/>
      <c r="O244" s="47"/>
      <c r="P244" s="58">
        <f t="shared" si="32"/>
        <v>0</v>
      </c>
      <c r="Q244" s="58"/>
      <c r="R244" s="58">
        <f t="shared" si="29"/>
        <v>0</v>
      </c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5" hidden="1">
      <c r="A245" s="50"/>
      <c r="B245" s="51"/>
      <c r="C245" s="51"/>
      <c r="D245" s="51"/>
      <c r="E245" s="44"/>
      <c r="F245" s="52"/>
      <c r="G245" s="51"/>
      <c r="H245" s="51"/>
      <c r="I245" s="51"/>
      <c r="J245" s="46"/>
      <c r="K245" s="51"/>
      <c r="L245" s="51"/>
      <c r="M245" s="47"/>
      <c r="N245" s="47"/>
      <c r="O245" s="47"/>
      <c r="P245" s="58">
        <f t="shared" si="32"/>
        <v>0</v>
      </c>
      <c r="Q245" s="58"/>
      <c r="R245" s="58">
        <f t="shared" si="29"/>
        <v>0</v>
      </c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5" hidden="1">
      <c r="A246" s="50"/>
      <c r="B246" s="64" t="s">
        <v>103</v>
      </c>
      <c r="C246" s="51" t="s">
        <v>0</v>
      </c>
      <c r="D246" s="51">
        <f>1/(0.25*0.12*0.065)*0.4*0.4*1</f>
        <v>82.05128205128206</v>
      </c>
      <c r="E246" s="44">
        <v>12</v>
      </c>
      <c r="F246" s="52">
        <f>D246*E246</f>
        <v>984.6153846153848</v>
      </c>
      <c r="G246" s="51"/>
      <c r="H246" s="51"/>
      <c r="I246" s="51">
        <f>0.4*0.4*1</f>
        <v>0.16000000000000003</v>
      </c>
      <c r="J246" s="46">
        <v>900</v>
      </c>
      <c r="K246" s="51">
        <f>I246*J246</f>
        <v>144.00000000000003</v>
      </c>
      <c r="L246" s="51"/>
      <c r="M246" s="47"/>
      <c r="N246" s="47"/>
      <c r="O246" s="47"/>
      <c r="P246" s="58">
        <f t="shared" si="32"/>
        <v>0</v>
      </c>
      <c r="Q246" s="58"/>
      <c r="R246" s="58">
        <f t="shared" si="29"/>
        <v>0</v>
      </c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s="3" customFormat="1" ht="30" customHeight="1" hidden="1">
      <c r="A247" s="74" t="s">
        <v>109</v>
      </c>
      <c r="B247" s="54"/>
      <c r="C247" s="55" t="s">
        <v>17</v>
      </c>
      <c r="D247" s="54"/>
      <c r="E247" s="56"/>
      <c r="F247" s="57">
        <f>SUM(F246:F246)</f>
        <v>984.6153846153848</v>
      </c>
      <c r="G247" s="54"/>
      <c r="H247" s="54"/>
      <c r="I247" s="54"/>
      <c r="J247" s="54"/>
      <c r="K247" s="55">
        <f>K246</f>
        <v>144.00000000000003</v>
      </c>
      <c r="L247" s="55">
        <f>F247+K247</f>
        <v>1128.6153846153848</v>
      </c>
      <c r="M247" s="42"/>
      <c r="N247" s="42"/>
      <c r="O247" s="42"/>
      <c r="P247" s="58">
        <f t="shared" si="32"/>
        <v>0</v>
      </c>
      <c r="Q247" s="58"/>
      <c r="R247" s="58">
        <f t="shared" si="29"/>
        <v>0</v>
      </c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5" hidden="1">
      <c r="A248" s="50"/>
      <c r="B248" s="51"/>
      <c r="C248" s="51"/>
      <c r="D248" s="51"/>
      <c r="E248" s="52"/>
      <c r="F248" s="52"/>
      <c r="G248" s="51"/>
      <c r="H248" s="51"/>
      <c r="I248" s="51"/>
      <c r="J248" s="51"/>
      <c r="K248" s="51"/>
      <c r="L248" s="51"/>
      <c r="M248" s="47"/>
      <c r="N248" s="47"/>
      <c r="O248" s="47"/>
      <c r="P248" s="58">
        <f t="shared" si="32"/>
        <v>0</v>
      </c>
      <c r="Q248" s="58"/>
      <c r="R248" s="58">
        <f t="shared" si="29"/>
        <v>0</v>
      </c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31.5" hidden="1">
      <c r="A249" s="41" t="s">
        <v>111</v>
      </c>
      <c r="B249" s="43"/>
      <c r="C249" s="42" t="s">
        <v>1</v>
      </c>
      <c r="D249" s="42"/>
      <c r="E249" s="45"/>
      <c r="F249" s="45"/>
      <c r="G249" s="42"/>
      <c r="H249" s="42"/>
      <c r="I249" s="42"/>
      <c r="J249" s="46"/>
      <c r="K249" s="42"/>
      <c r="L249" s="42"/>
      <c r="M249" s="47"/>
      <c r="N249" s="47"/>
      <c r="O249" s="47"/>
      <c r="P249" s="58">
        <f aca="true" t="shared" si="33" ref="P249:P265">L249*M249</f>
        <v>0</v>
      </c>
      <c r="Q249" s="58"/>
      <c r="R249" s="58">
        <f t="shared" si="29"/>
        <v>0</v>
      </c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5" hidden="1">
      <c r="A250" s="63" t="s">
        <v>90</v>
      </c>
      <c r="B250" s="64" t="s">
        <v>47</v>
      </c>
      <c r="C250" s="51" t="s">
        <v>1</v>
      </c>
      <c r="D250" s="51">
        <v>0</v>
      </c>
      <c r="E250" s="44">
        <v>220</v>
      </c>
      <c r="F250" s="52">
        <f>D250*E250</f>
        <v>0</v>
      </c>
      <c r="G250" s="51"/>
      <c r="H250" s="51"/>
      <c r="I250" s="51"/>
      <c r="J250" s="46"/>
      <c r="K250" s="51"/>
      <c r="L250" s="51"/>
      <c r="M250" s="47"/>
      <c r="N250" s="47"/>
      <c r="O250" s="47"/>
      <c r="P250" s="58">
        <f t="shared" si="33"/>
        <v>0</v>
      </c>
      <c r="Q250" s="58"/>
      <c r="R250" s="58">
        <f t="shared" si="29"/>
        <v>0</v>
      </c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5" hidden="1">
      <c r="A251" s="50"/>
      <c r="B251" s="42" t="s">
        <v>48</v>
      </c>
      <c r="C251" s="42" t="s">
        <v>1</v>
      </c>
      <c r="D251" s="51"/>
      <c r="E251" s="44">
        <f>E250*0.4</f>
        <v>88</v>
      </c>
      <c r="F251" s="52">
        <f>D251*E251</f>
        <v>0</v>
      </c>
      <c r="G251" s="51"/>
      <c r="H251" s="51"/>
      <c r="I251" s="51"/>
      <c r="J251" s="46"/>
      <c r="K251" s="51"/>
      <c r="L251" s="51"/>
      <c r="M251" s="47"/>
      <c r="N251" s="47"/>
      <c r="O251" s="47"/>
      <c r="P251" s="58">
        <f t="shared" si="33"/>
        <v>0</v>
      </c>
      <c r="Q251" s="58"/>
      <c r="R251" s="58">
        <f t="shared" si="29"/>
        <v>0</v>
      </c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5" hidden="1">
      <c r="A252" s="50"/>
      <c r="B252" s="64" t="s">
        <v>106</v>
      </c>
      <c r="C252" s="42" t="s">
        <v>1</v>
      </c>
      <c r="D252" s="51"/>
      <c r="E252" s="44">
        <v>14000</v>
      </c>
      <c r="F252" s="52">
        <f>D252*E252</f>
        <v>0</v>
      </c>
      <c r="G252" s="51"/>
      <c r="H252" s="51"/>
      <c r="I252" s="51"/>
      <c r="J252" s="46"/>
      <c r="K252" s="51"/>
      <c r="L252" s="51"/>
      <c r="M252" s="47"/>
      <c r="N252" s="47"/>
      <c r="O252" s="47"/>
      <c r="P252" s="58">
        <f t="shared" si="33"/>
        <v>0</v>
      </c>
      <c r="Q252" s="58"/>
      <c r="R252" s="58">
        <f t="shared" si="29"/>
        <v>0</v>
      </c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5" hidden="1">
      <c r="A253" s="50"/>
      <c r="B253" s="51" t="s">
        <v>50</v>
      </c>
      <c r="C253" s="51" t="s">
        <v>0</v>
      </c>
      <c r="D253" s="51">
        <f>0.1*0.2</f>
        <v>0.020000000000000004</v>
      </c>
      <c r="E253" s="44">
        <v>12000</v>
      </c>
      <c r="F253" s="52">
        <f>D253*E253</f>
        <v>240.00000000000006</v>
      </c>
      <c r="G253" s="51"/>
      <c r="H253" s="51"/>
      <c r="I253" s="51"/>
      <c r="J253" s="46"/>
      <c r="K253" s="51"/>
      <c r="L253" s="51"/>
      <c r="M253" s="47"/>
      <c r="N253" s="47"/>
      <c r="O253" s="47"/>
      <c r="P253" s="58">
        <f t="shared" si="33"/>
        <v>0</v>
      </c>
      <c r="Q253" s="58"/>
      <c r="R253" s="58">
        <f t="shared" si="29"/>
        <v>0</v>
      </c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5" hidden="1">
      <c r="A254" s="50"/>
      <c r="B254" s="42" t="s">
        <v>51</v>
      </c>
      <c r="C254" s="42" t="s">
        <v>0</v>
      </c>
      <c r="D254" s="51">
        <f>0.025*0.7</f>
        <v>0.017499999999999998</v>
      </c>
      <c r="E254" s="44">
        <v>4000</v>
      </c>
      <c r="F254" s="52">
        <f>D254*E254</f>
        <v>69.99999999999999</v>
      </c>
      <c r="G254" s="51" t="s">
        <v>52</v>
      </c>
      <c r="H254" s="51" t="s">
        <v>1</v>
      </c>
      <c r="I254" s="51">
        <v>1</v>
      </c>
      <c r="J254" s="46">
        <v>150</v>
      </c>
      <c r="K254" s="51">
        <f>I254*J254</f>
        <v>150</v>
      </c>
      <c r="L254" s="51"/>
      <c r="M254" s="47"/>
      <c r="N254" s="47"/>
      <c r="O254" s="47"/>
      <c r="P254" s="58">
        <f t="shared" si="33"/>
        <v>0</v>
      </c>
      <c r="Q254" s="58"/>
      <c r="R254" s="58">
        <f t="shared" si="29"/>
        <v>0</v>
      </c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5" hidden="1">
      <c r="A255" s="74" t="s">
        <v>97</v>
      </c>
      <c r="B255" s="54"/>
      <c r="C255" s="54"/>
      <c r="D255" s="54"/>
      <c r="E255" s="56"/>
      <c r="F255" s="56">
        <f>SUM(F250:F254)</f>
        <v>310.00000000000006</v>
      </c>
      <c r="G255" s="54"/>
      <c r="H255" s="54"/>
      <c r="I255" s="54"/>
      <c r="J255" s="54"/>
      <c r="K255" s="54">
        <f>SUM(K250:K254)</f>
        <v>150</v>
      </c>
      <c r="L255" s="67">
        <f>F255+K255</f>
        <v>460.00000000000006</v>
      </c>
      <c r="M255" s="47"/>
      <c r="N255" s="47"/>
      <c r="O255" s="47"/>
      <c r="P255" s="58">
        <f t="shared" si="33"/>
        <v>0</v>
      </c>
      <c r="Q255" s="58"/>
      <c r="R255" s="58">
        <f t="shared" si="29"/>
        <v>0</v>
      </c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5" hidden="1">
      <c r="A256" s="50"/>
      <c r="B256" s="51"/>
      <c r="C256" s="51"/>
      <c r="D256" s="51"/>
      <c r="E256" s="52"/>
      <c r="F256" s="52"/>
      <c r="G256" s="51"/>
      <c r="H256" s="51"/>
      <c r="I256" s="51"/>
      <c r="J256" s="51"/>
      <c r="K256" s="51"/>
      <c r="L256" s="51"/>
      <c r="M256" s="47"/>
      <c r="N256" s="47"/>
      <c r="O256" s="47"/>
      <c r="P256" s="58">
        <f t="shared" si="33"/>
        <v>0</v>
      </c>
      <c r="Q256" s="58"/>
      <c r="R256" s="58">
        <f t="shared" si="29"/>
        <v>0</v>
      </c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s="6" customFormat="1" ht="15.75" hidden="1">
      <c r="A257" s="41" t="s">
        <v>112</v>
      </c>
      <c r="B257" s="43"/>
      <c r="C257" s="42" t="s">
        <v>1</v>
      </c>
      <c r="D257" s="42"/>
      <c r="E257" s="44"/>
      <c r="F257" s="45"/>
      <c r="G257" s="42"/>
      <c r="H257" s="42"/>
      <c r="I257" s="42"/>
      <c r="J257" s="46"/>
      <c r="K257" s="42"/>
      <c r="L257" s="42"/>
      <c r="M257" s="42"/>
      <c r="N257" s="42"/>
      <c r="O257" s="42"/>
      <c r="P257" s="58">
        <f t="shared" si="33"/>
        <v>0</v>
      </c>
      <c r="Q257" s="58"/>
      <c r="R257" s="58">
        <f t="shared" si="29"/>
        <v>0</v>
      </c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5" hidden="1">
      <c r="A258" s="50"/>
      <c r="B258" s="64" t="s">
        <v>34</v>
      </c>
      <c r="C258" s="51" t="s">
        <v>0</v>
      </c>
      <c r="D258" s="51">
        <v>0.04</v>
      </c>
      <c r="E258" s="44">
        <v>6000</v>
      </c>
      <c r="F258" s="52">
        <f>D258*E258</f>
        <v>240</v>
      </c>
      <c r="G258" s="51"/>
      <c r="H258" s="51"/>
      <c r="I258" s="51"/>
      <c r="J258" s="46"/>
      <c r="K258" s="51"/>
      <c r="L258" s="51"/>
      <c r="M258" s="47"/>
      <c r="N258" s="47"/>
      <c r="O258" s="47"/>
      <c r="P258" s="58">
        <f t="shared" si="33"/>
        <v>0</v>
      </c>
      <c r="Q258" s="58"/>
      <c r="R258" s="58">
        <f t="shared" si="29"/>
        <v>0</v>
      </c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5" hidden="1">
      <c r="A259" s="50"/>
      <c r="B259" s="51" t="s">
        <v>3</v>
      </c>
      <c r="C259" s="51" t="s">
        <v>0</v>
      </c>
      <c r="D259" s="51">
        <f>0.1*0.2*10/7</f>
        <v>0.028571428571428577</v>
      </c>
      <c r="E259" s="44">
        <v>6000</v>
      </c>
      <c r="F259" s="52">
        <f aca="true" t="shared" si="34" ref="F259:F264">D259*E259</f>
        <v>171.42857142857147</v>
      </c>
      <c r="G259" s="51"/>
      <c r="H259" s="51"/>
      <c r="I259" s="51"/>
      <c r="J259" s="46"/>
      <c r="K259" s="51"/>
      <c r="L259" s="51"/>
      <c r="M259" s="47"/>
      <c r="N259" s="47"/>
      <c r="O259" s="47"/>
      <c r="P259" s="58">
        <f t="shared" si="33"/>
        <v>0</v>
      </c>
      <c r="Q259" s="58"/>
      <c r="R259" s="58">
        <f t="shared" si="29"/>
        <v>0</v>
      </c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5" hidden="1">
      <c r="A260" s="50"/>
      <c r="B260" s="51" t="s">
        <v>35</v>
      </c>
      <c r="C260" s="51" t="s">
        <v>0</v>
      </c>
      <c r="D260" s="51"/>
      <c r="E260" s="44">
        <v>1500</v>
      </c>
      <c r="F260" s="52">
        <f t="shared" si="34"/>
        <v>0</v>
      </c>
      <c r="G260" s="51"/>
      <c r="H260" s="51"/>
      <c r="I260" s="51"/>
      <c r="J260" s="46"/>
      <c r="K260" s="51"/>
      <c r="L260" s="51"/>
      <c r="M260" s="47"/>
      <c r="N260" s="47"/>
      <c r="O260" s="47"/>
      <c r="P260" s="58">
        <f t="shared" si="33"/>
        <v>0</v>
      </c>
      <c r="Q260" s="58"/>
      <c r="R260" s="58">
        <f t="shared" si="29"/>
        <v>0</v>
      </c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5" hidden="1">
      <c r="A261" s="50"/>
      <c r="B261" s="51" t="s">
        <v>36</v>
      </c>
      <c r="C261" s="51" t="s">
        <v>1</v>
      </c>
      <c r="D261" s="51"/>
      <c r="E261" s="44">
        <v>35</v>
      </c>
      <c r="F261" s="52">
        <f t="shared" si="34"/>
        <v>0</v>
      </c>
      <c r="G261" s="51"/>
      <c r="H261" s="51"/>
      <c r="I261" s="51"/>
      <c r="J261" s="46"/>
      <c r="K261" s="51"/>
      <c r="L261" s="51"/>
      <c r="M261" s="47"/>
      <c r="N261" s="47"/>
      <c r="O261" s="47"/>
      <c r="P261" s="58">
        <f t="shared" si="33"/>
        <v>0</v>
      </c>
      <c r="Q261" s="58"/>
      <c r="R261" s="58">
        <f t="shared" si="29"/>
        <v>0</v>
      </c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5" hidden="1">
      <c r="A262" s="50"/>
      <c r="B262" s="51" t="s">
        <v>37</v>
      </c>
      <c r="C262" s="51" t="s">
        <v>0</v>
      </c>
      <c r="D262" s="51"/>
      <c r="E262" s="44">
        <v>4000</v>
      </c>
      <c r="F262" s="52">
        <f t="shared" si="34"/>
        <v>0</v>
      </c>
      <c r="G262" s="51"/>
      <c r="H262" s="51"/>
      <c r="I262" s="51"/>
      <c r="J262" s="46"/>
      <c r="K262" s="51"/>
      <c r="L262" s="51"/>
      <c r="M262" s="47"/>
      <c r="N262" s="47"/>
      <c r="O262" s="47"/>
      <c r="P262" s="58">
        <f t="shared" si="33"/>
        <v>0</v>
      </c>
      <c r="Q262" s="58"/>
      <c r="R262" s="58">
        <f t="shared" si="29"/>
        <v>0</v>
      </c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5" hidden="1">
      <c r="A263" s="50"/>
      <c r="B263" s="42" t="s">
        <v>38</v>
      </c>
      <c r="C263" s="42" t="s">
        <v>22</v>
      </c>
      <c r="D263" s="42"/>
      <c r="E263" s="44">
        <v>40</v>
      </c>
      <c r="F263" s="52">
        <f t="shared" si="34"/>
        <v>0</v>
      </c>
      <c r="G263" s="51"/>
      <c r="H263" s="51"/>
      <c r="I263" s="51"/>
      <c r="J263" s="46"/>
      <c r="K263" s="51"/>
      <c r="L263" s="51"/>
      <c r="M263" s="47"/>
      <c r="N263" s="47"/>
      <c r="O263" s="47"/>
      <c r="P263" s="58">
        <f t="shared" si="33"/>
        <v>0</v>
      </c>
      <c r="Q263" s="58"/>
      <c r="R263" s="58">
        <f t="shared" si="29"/>
        <v>0</v>
      </c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5" hidden="1">
      <c r="A264" s="50"/>
      <c r="B264" s="51" t="s">
        <v>23</v>
      </c>
      <c r="C264" s="51" t="s">
        <v>2</v>
      </c>
      <c r="D264" s="51"/>
      <c r="E264" s="44">
        <v>0.7</v>
      </c>
      <c r="F264" s="52">
        <f t="shared" si="34"/>
        <v>0</v>
      </c>
      <c r="G264" s="51" t="s">
        <v>39</v>
      </c>
      <c r="H264" s="51" t="s">
        <v>1</v>
      </c>
      <c r="I264" s="51">
        <v>1</v>
      </c>
      <c r="J264" s="46">
        <v>0</v>
      </c>
      <c r="K264" s="51">
        <f>I264*J264</f>
        <v>0</v>
      </c>
      <c r="L264" s="51"/>
      <c r="M264" s="47"/>
      <c r="N264" s="47"/>
      <c r="O264" s="47"/>
      <c r="P264" s="58">
        <f t="shared" si="33"/>
        <v>0</v>
      </c>
      <c r="Q264" s="58"/>
      <c r="R264" s="58">
        <f t="shared" si="29"/>
        <v>0</v>
      </c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s="3" customFormat="1" ht="12.75">
      <c r="A265" s="53" t="s">
        <v>7</v>
      </c>
      <c r="B265" s="54"/>
      <c r="C265" s="55" t="s">
        <v>1</v>
      </c>
      <c r="D265" s="54"/>
      <c r="E265" s="56"/>
      <c r="F265" s="56">
        <f>SUM(F258:F264)</f>
        <v>411.42857142857144</v>
      </c>
      <c r="G265" s="54"/>
      <c r="H265" s="54"/>
      <c r="I265" s="54"/>
      <c r="J265" s="54"/>
      <c r="K265" s="54">
        <f>SUM(K258:K264)</f>
        <v>0</v>
      </c>
      <c r="L265" s="67">
        <f>F265+K265</f>
        <v>411.42857142857144</v>
      </c>
      <c r="M265" s="42"/>
      <c r="N265" s="42"/>
      <c r="O265" s="42"/>
      <c r="P265" s="58">
        <f t="shared" si="33"/>
        <v>0</v>
      </c>
      <c r="Q265" s="58"/>
      <c r="R265" s="58">
        <f t="shared" si="29"/>
        <v>0</v>
      </c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5">
      <c r="A266" s="50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47"/>
      <c r="N266" s="47"/>
      <c r="O266" s="47"/>
      <c r="P266" s="58">
        <f>SUM(P2:P265)</f>
        <v>1138202.077356274</v>
      </c>
      <c r="Q266" s="58"/>
      <c r="R266" s="58">
        <f>P266*$M$273</f>
        <v>1637212.6321108118</v>
      </c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23:40" ht="15"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5">
      <c r="A268" s="7" t="s">
        <v>118</v>
      </c>
      <c r="B268" s="14">
        <v>0.077</v>
      </c>
      <c r="P268" s="35">
        <f>P266*B268</f>
        <v>87641.55995643309</v>
      </c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5">
      <c r="A269" s="13" t="s">
        <v>119</v>
      </c>
      <c r="B269" s="14">
        <v>0.18</v>
      </c>
      <c r="P269" s="35">
        <f>P266*B269</f>
        <v>204876.37392412932</v>
      </c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5">
      <c r="A270" s="13" t="s">
        <v>117</v>
      </c>
      <c r="B270" s="14">
        <v>0.1</v>
      </c>
      <c r="P270" s="35">
        <f>P266*B270</f>
        <v>113820.20773562741</v>
      </c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5">
      <c r="A271" s="7" t="s">
        <v>116</v>
      </c>
      <c r="B271" s="14"/>
      <c r="P271" s="35">
        <f>SUM(P266:P270)</f>
        <v>1544540.2189724639</v>
      </c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5">
      <c r="A272" s="13" t="s">
        <v>113</v>
      </c>
      <c r="B272" s="14">
        <v>0.06</v>
      </c>
      <c r="P272" s="35">
        <f>P271*B272</f>
        <v>92672.41313834782</v>
      </c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3:40" ht="15">
      <c r="M273" s="12">
        <f>P273/P266</f>
        <v>1.43842</v>
      </c>
      <c r="P273" s="36">
        <f>SUM(P271:P272)</f>
        <v>1637212.6321108118</v>
      </c>
      <c r="Q273" s="37"/>
      <c r="R273" s="37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23:40" ht="15"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23:40" ht="15"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23:40" ht="15"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23:40" ht="15"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23:40" ht="15"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23:40" ht="15"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23:40" ht="15"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23:40" ht="15"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23:40" ht="15"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23:40" ht="15"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23:40" ht="15"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23:40" ht="15"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23:40" ht="15"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23:40" ht="15"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23:40" ht="15"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23:40" ht="15"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23:40" ht="15"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23:40" ht="15"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23:40" ht="15"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23:40" ht="15"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23:40" ht="15"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23:40" ht="15"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23:40" ht="15"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23:40" ht="15"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23:40" ht="15"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23:40" ht="15"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23:40" ht="15"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23:40" ht="15"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23:40" ht="15"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23:40" ht="15"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23:40" ht="15"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23:40" ht="15"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23:40" ht="15"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23:40" ht="15"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23:40" ht="15"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23:40" ht="15"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23:40" ht="15"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23:40" ht="15"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23:40" ht="15"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23:40" ht="15"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23:40" ht="15"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23:40" ht="15"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23:40" ht="15"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23:40" ht="15"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23:40" ht="15"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23:40" ht="15"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23:40" ht="15"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23:40" ht="15"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23:40" ht="15"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23:40" ht="15"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23:40" ht="15"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23:40" ht="15"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23:40" ht="15"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23:40" ht="15"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23:40" ht="15"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23:40" ht="15"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23:40" ht="15"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23:40" ht="15"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23:40" ht="15"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23:40" ht="15"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23:40" ht="15"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23:40" ht="15"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23:40" ht="15"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23:40" ht="15"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23:40" ht="15"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23:40" ht="15"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23:40" ht="15"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23:40" ht="15"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23:40" ht="15"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23:40" ht="15"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23:40" ht="15"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23:40" ht="15"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23:40" ht="15"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23:40" ht="15"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23:40" ht="15"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23:40" ht="15"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23:40" ht="15"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23:40" ht="15"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23:40" ht="15"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23:40" ht="15"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23:40" ht="15"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23:40" ht="15"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23:40" ht="15"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23:40" ht="15"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23:40" ht="15"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23:40" ht="15"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23:40" ht="15"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23:40" ht="15"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23:40" ht="15"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23:40" ht="15"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23:40" ht="15"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23:40" ht="15"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23:40" ht="15"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23:40" ht="15"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23:40" ht="15"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23:40" ht="15"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23:40" ht="15"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23:40" ht="15"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23:40" ht="15"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23:40" ht="15"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23:40" ht="15"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23:40" ht="15"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23:40" ht="15"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23:40" ht="15"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23:40" ht="15"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23:40" ht="15"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23:40" ht="15"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23:40" ht="15"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23:40" ht="15"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23:40" ht="15"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23:40" ht="15"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23:40" ht="15"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23:40" ht="15"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23:40" ht="15"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23:40" ht="15"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23:40" ht="15"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23:40" ht="15"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23:40" ht="15"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23:40" ht="15"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23:40" ht="15"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23:40" ht="15"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23:40" ht="15"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23:40" ht="15"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23:40" ht="15"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23:40" ht="15"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23:40" ht="15"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23:40" ht="15"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23:40" ht="15"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23:40" ht="15"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23:40" ht="15"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23:40" ht="15"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23:40" ht="15"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23:40" ht="15"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23:40" ht="15"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spans="23:40" ht="15"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spans="23:40" ht="15"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23:40" ht="15"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23:40" ht="15"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J2:P10"/>
  <sheetViews>
    <sheetView workbookViewId="0" topLeftCell="B1">
      <selection activeCell="N5" sqref="N5"/>
    </sheetView>
  </sheetViews>
  <sheetFormatPr defaultColWidth="9.140625" defaultRowHeight="15"/>
  <cols>
    <col min="1" max="16384" width="9.140625" style="16" customWidth="1"/>
  </cols>
  <sheetData>
    <row r="2" ht="12.75">
      <c r="J2" s="16" t="s">
        <v>159</v>
      </c>
    </row>
    <row r="3" spans="10:14" ht="12.75">
      <c r="J3" s="16" t="s">
        <v>163</v>
      </c>
      <c r="M3" s="85" t="s">
        <v>164</v>
      </c>
      <c r="N3" s="85" t="s">
        <v>110</v>
      </c>
    </row>
    <row r="4" spans="10:14" ht="12.75">
      <c r="J4" s="16">
        <v>0.15</v>
      </c>
      <c r="K4" s="16">
        <v>5.32</v>
      </c>
      <c r="L4" s="16">
        <v>2.62</v>
      </c>
      <c r="M4" s="16">
        <f>K4*L4</f>
        <v>13.938400000000001</v>
      </c>
      <c r="N4" s="16">
        <f>M4*J4</f>
        <v>2.09076</v>
      </c>
    </row>
    <row r="6" spans="10:16" ht="12.75">
      <c r="J6" s="16">
        <v>8.36</v>
      </c>
      <c r="K6" s="16">
        <v>12.36</v>
      </c>
      <c r="L6" s="16">
        <v>12.36</v>
      </c>
      <c r="M6" s="16">
        <v>11.27</v>
      </c>
      <c r="N6" s="16">
        <v>5.34</v>
      </c>
      <c r="O6" s="16">
        <v>5.34</v>
      </c>
      <c r="P6" s="16">
        <f>SUM(J6:O6)</f>
        <v>55.03</v>
      </c>
    </row>
    <row r="7" spans="10:16" ht="12.75">
      <c r="J7" s="16">
        <v>2.65</v>
      </c>
      <c r="K7" s="16">
        <v>2.65</v>
      </c>
      <c r="L7" s="16">
        <v>2.65</v>
      </c>
      <c r="P7" s="16">
        <f>SUM(J7:O7)</f>
        <v>7.949999999999999</v>
      </c>
    </row>
    <row r="8" spans="10:16" ht="12.75">
      <c r="J8" s="16">
        <v>2.88</v>
      </c>
      <c r="K8" s="16">
        <v>2.88</v>
      </c>
      <c r="L8" s="16">
        <v>2.88</v>
      </c>
      <c r="M8" s="16">
        <v>2.88</v>
      </c>
      <c r="N8" s="16">
        <v>2.88</v>
      </c>
      <c r="P8" s="16">
        <f>SUM(J8:O8)</f>
        <v>14.399999999999999</v>
      </c>
    </row>
    <row r="9" spans="10:16" ht="12.75">
      <c r="J9" s="16">
        <v>2.41</v>
      </c>
      <c r="K9" s="16">
        <v>2.41</v>
      </c>
      <c r="L9" s="16">
        <v>2.41</v>
      </c>
      <c r="M9" s="16">
        <v>1.5</v>
      </c>
      <c r="N9" s="16">
        <v>1.5</v>
      </c>
      <c r="P9" s="16">
        <f>SUM(J9:O9)</f>
        <v>10.23</v>
      </c>
    </row>
    <row r="10" ht="12.75">
      <c r="P10" s="16">
        <f>SUM(P6:P9)</f>
        <v>87.61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87"/>
  <sheetViews>
    <sheetView workbookViewId="0" topLeftCell="C1">
      <selection activeCell="F88" sqref="F88"/>
    </sheetView>
  </sheetViews>
  <sheetFormatPr defaultColWidth="9.140625" defaultRowHeight="15"/>
  <cols>
    <col min="1" max="16384" width="9.140625" style="16" customWidth="1"/>
  </cols>
  <sheetData>
    <row r="2" ht="12.75">
      <c r="I2" s="16" t="s">
        <v>160</v>
      </c>
    </row>
    <row r="4" spans="9:17" ht="12.75">
      <c r="I4" s="16" t="s">
        <v>3</v>
      </c>
      <c r="O4" s="16" t="s">
        <v>115</v>
      </c>
      <c r="P4" s="16" t="s">
        <v>120</v>
      </c>
      <c r="Q4" s="16" t="s">
        <v>164</v>
      </c>
    </row>
    <row r="5" spans="9:17" ht="12.75">
      <c r="I5" s="16">
        <v>250</v>
      </c>
      <c r="J5" s="16">
        <v>6.5</v>
      </c>
      <c r="K5" s="16">
        <v>6.5</v>
      </c>
      <c r="L5" s="16">
        <v>3</v>
      </c>
      <c r="M5" s="16">
        <v>3</v>
      </c>
      <c r="O5" s="16">
        <f>SUM(J5:N5)</f>
        <v>19</v>
      </c>
      <c r="P5" s="16">
        <v>3.1</v>
      </c>
      <c r="Q5" s="16">
        <f>P5*O5</f>
        <v>58.9</v>
      </c>
    </row>
    <row r="6" spans="10:17" ht="12.75">
      <c r="J6" s="16">
        <v>8.36</v>
      </c>
      <c r="K6" s="16">
        <v>11.32</v>
      </c>
      <c r="L6" s="16">
        <v>11.32</v>
      </c>
      <c r="O6" s="16">
        <f>SUM(J6:N6)</f>
        <v>31</v>
      </c>
      <c r="P6" s="16">
        <v>3.1</v>
      </c>
      <c r="Q6" s="16">
        <f>P6*O6</f>
        <v>96.10000000000001</v>
      </c>
    </row>
    <row r="7" spans="9:17" ht="12.75">
      <c r="I7" s="16" t="s">
        <v>126</v>
      </c>
      <c r="J7" s="16">
        <v>2.86</v>
      </c>
      <c r="K7" s="16">
        <v>6.5</v>
      </c>
      <c r="L7" s="16">
        <v>1.6</v>
      </c>
      <c r="M7" s="16">
        <v>3.28</v>
      </c>
      <c r="N7" s="16">
        <v>1.6</v>
      </c>
      <c r="O7" s="16">
        <f>SUM(J7:N7)</f>
        <v>15.839999999999998</v>
      </c>
      <c r="P7" s="16">
        <v>2.8</v>
      </c>
      <c r="Q7" s="16">
        <f>P7*O7</f>
        <v>44.35199999999999</v>
      </c>
    </row>
    <row r="8" spans="10:17" ht="12.75">
      <c r="J8" s="16">
        <v>2.38</v>
      </c>
      <c r="K8" s="16">
        <v>0.9</v>
      </c>
      <c r="L8" s="16">
        <v>3.52</v>
      </c>
      <c r="O8" s="16">
        <f>SUM(J8:N8)</f>
        <v>6.8</v>
      </c>
      <c r="P8" s="16">
        <v>2.8</v>
      </c>
      <c r="Q8" s="16">
        <f>P8*O8</f>
        <v>19.04</v>
      </c>
    </row>
    <row r="11" ht="12.75">
      <c r="I11" s="16" t="s">
        <v>165</v>
      </c>
    </row>
    <row r="12" spans="11:12" ht="12.75">
      <c r="K12" s="16" t="s">
        <v>110</v>
      </c>
      <c r="L12" s="16" t="s">
        <v>156</v>
      </c>
    </row>
    <row r="13" spans="9:12" ht="12.75">
      <c r="I13" s="16">
        <v>2.1</v>
      </c>
      <c r="J13" s="16">
        <v>1.3</v>
      </c>
      <c r="K13" s="81">
        <f>J13*I13</f>
        <v>2.7300000000000004</v>
      </c>
      <c r="L13" s="16">
        <f>I13+I13+J13</f>
        <v>5.5</v>
      </c>
    </row>
    <row r="14" spans="9:12" ht="12.75">
      <c r="I14" s="16">
        <v>2.1</v>
      </c>
      <c r="J14" s="16">
        <v>1</v>
      </c>
      <c r="K14" s="81">
        <f>J14*I14</f>
        <v>2.1</v>
      </c>
      <c r="L14" s="16">
        <f>I14+I14+J14</f>
        <v>5.2</v>
      </c>
    </row>
    <row r="18" ht="12.75">
      <c r="I18" s="16" t="s">
        <v>160</v>
      </c>
    </row>
    <row r="20" spans="9:17" ht="12.75">
      <c r="I20" s="16" t="s">
        <v>3</v>
      </c>
      <c r="O20" s="16" t="s">
        <v>115</v>
      </c>
      <c r="P20" s="16" t="s">
        <v>120</v>
      </c>
      <c r="Q20" s="16" t="s">
        <v>164</v>
      </c>
    </row>
    <row r="21" spans="9:17" ht="12.75">
      <c r="I21" s="16">
        <v>250</v>
      </c>
      <c r="J21" s="16">
        <v>6.5</v>
      </c>
      <c r="K21" s="16">
        <v>6.5</v>
      </c>
      <c r="O21" s="16">
        <f>SUM(J21:N21)</f>
        <v>13</v>
      </c>
      <c r="P21" s="16">
        <v>0.9</v>
      </c>
      <c r="Q21" s="16">
        <f>P21*O21</f>
        <v>11.700000000000001</v>
      </c>
    </row>
    <row r="22" spans="11:17" ht="12.75">
      <c r="K22" s="16">
        <v>11.32</v>
      </c>
      <c r="L22" s="16">
        <v>11.32</v>
      </c>
      <c r="O22" s="16">
        <f>SUM(J22:N22)</f>
        <v>22.64</v>
      </c>
      <c r="P22" s="16">
        <v>0.9</v>
      </c>
      <c r="Q22" s="16">
        <f>P22*O22</f>
        <v>20.376</v>
      </c>
    </row>
    <row r="23" spans="9:17" ht="12.75">
      <c r="I23" s="16" t="s">
        <v>126</v>
      </c>
      <c r="J23" s="16">
        <v>4.37</v>
      </c>
      <c r="K23" s="16">
        <v>2.2</v>
      </c>
      <c r="L23" s="16">
        <v>4.37</v>
      </c>
      <c r="M23" s="16">
        <v>2.2</v>
      </c>
      <c r="O23" s="16">
        <f>SUM(J23:N23)</f>
        <v>13.14</v>
      </c>
      <c r="P23" s="16">
        <v>2.8</v>
      </c>
      <c r="Q23" s="81">
        <f>P23*O23</f>
        <v>36.792</v>
      </c>
    </row>
    <row r="24" spans="10:17" ht="12.75">
      <c r="J24" s="16">
        <v>1.1</v>
      </c>
      <c r="K24" s="16">
        <v>3.95</v>
      </c>
      <c r="L24" s="16">
        <v>2.9</v>
      </c>
      <c r="O24" s="16">
        <f>SUM(J24:N24)</f>
        <v>7.950000000000001</v>
      </c>
      <c r="P24" s="16">
        <v>2.8</v>
      </c>
      <c r="Q24" s="81">
        <f>P24*O24</f>
        <v>22.26</v>
      </c>
    </row>
    <row r="30" ht="12.75">
      <c r="I30" s="16" t="s">
        <v>162</v>
      </c>
    </row>
    <row r="31" ht="12.75">
      <c r="I31" s="16" t="s">
        <v>3</v>
      </c>
    </row>
    <row r="32" spans="9:12" ht="12.75">
      <c r="I32" s="16">
        <v>250</v>
      </c>
      <c r="J32" s="16">
        <v>2.7</v>
      </c>
      <c r="K32" s="16">
        <v>3.25</v>
      </c>
      <c r="L32" s="16">
        <f>K32*J32</f>
        <v>8.775</v>
      </c>
    </row>
    <row r="33" spans="10:12" ht="12.75">
      <c r="J33" s="16">
        <v>2.7</v>
      </c>
      <c r="K33" s="16">
        <v>3.25</v>
      </c>
      <c r="L33" s="16">
        <f>K33*J33</f>
        <v>8.775</v>
      </c>
    </row>
    <row r="34" spans="10:12" ht="12.75">
      <c r="J34" s="16">
        <v>3.4</v>
      </c>
      <c r="K34" s="16">
        <v>4.23</v>
      </c>
      <c r="L34" s="16">
        <f>K34*J34</f>
        <v>14.382000000000001</v>
      </c>
    </row>
    <row r="35" spans="10:12" ht="12.75">
      <c r="J35" s="16">
        <v>3.4</v>
      </c>
      <c r="K35" s="16">
        <v>4.23</v>
      </c>
      <c r="L35" s="16">
        <f>K35*J35</f>
        <v>14.382000000000001</v>
      </c>
    </row>
    <row r="36" ht="12.75">
      <c r="L36" s="16">
        <f>SUM(L32:L35)</f>
        <v>46.31400000000001</v>
      </c>
    </row>
    <row r="67" ht="12.75">
      <c r="A67" s="16" t="s">
        <v>122</v>
      </c>
    </row>
    <row r="79" ht="12.75">
      <c r="A79" s="16" t="s">
        <v>122</v>
      </c>
    </row>
    <row r="80" spans="1:4" ht="12.75">
      <c r="A80" s="16">
        <v>0.35</v>
      </c>
      <c r="B80" s="16">
        <v>3.2</v>
      </c>
      <c r="C80" s="16">
        <v>6</v>
      </c>
      <c r="D80" s="16">
        <f>C80*B80*A80</f>
        <v>6.720000000000001</v>
      </c>
    </row>
    <row r="81" spans="1:4" ht="12.75">
      <c r="A81" s="16">
        <v>0.35</v>
      </c>
      <c r="B81" s="16">
        <v>4.1</v>
      </c>
      <c r="C81" s="16">
        <v>8</v>
      </c>
      <c r="D81" s="16">
        <f>C81*B81*A81</f>
        <v>11.479999999999999</v>
      </c>
    </row>
    <row r="82" spans="1:4" ht="12.75">
      <c r="A82" s="16" t="s">
        <v>124</v>
      </c>
      <c r="D82" s="16">
        <f>ОкнаДвери!N8</f>
        <v>13.649999999999999</v>
      </c>
    </row>
    <row r="83" spans="1:4" ht="12.75">
      <c r="A83" s="16" t="s">
        <v>125</v>
      </c>
      <c r="D83" s="16">
        <f>ОкнаДвери!P13</f>
        <v>4.800000000000001</v>
      </c>
    </row>
    <row r="84" spans="1:4" ht="12.75">
      <c r="A84" s="16" t="s">
        <v>161</v>
      </c>
      <c r="D84" s="16">
        <f>L13+L14</f>
        <v>10.7</v>
      </c>
    </row>
    <row r="85" ht="12.75">
      <c r="D85" s="16">
        <f>SUM(D80:D84)</f>
        <v>47.349999999999994</v>
      </c>
    </row>
    <row r="87" spans="3:6" ht="12.75">
      <c r="C87" s="16">
        <v>6.5</v>
      </c>
      <c r="D87" s="16">
        <v>0.28</v>
      </c>
      <c r="E87" s="16">
        <v>0.15</v>
      </c>
      <c r="F87" s="16">
        <f>E87*D87*C87</f>
        <v>0.273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L2:N15"/>
  <sheetViews>
    <sheetView workbookViewId="0" topLeftCell="A1">
      <selection activeCell="D12" sqref="D12"/>
    </sheetView>
  </sheetViews>
  <sheetFormatPr defaultColWidth="9.140625" defaultRowHeight="15"/>
  <cols>
    <col min="1" max="16384" width="9.140625" style="16" customWidth="1"/>
  </cols>
  <sheetData>
    <row r="2" ht="12.75">
      <c r="L2" s="16" t="s">
        <v>157</v>
      </c>
    </row>
    <row r="4" spans="12:14" ht="12.75">
      <c r="L4" s="16">
        <v>13.3</v>
      </c>
      <c r="M4" s="16">
        <v>5.55</v>
      </c>
      <c r="N4" s="16">
        <f>M4*L4</f>
        <v>73.815</v>
      </c>
    </row>
    <row r="5" spans="12:14" ht="12.75">
      <c r="L5" s="16">
        <v>13.3</v>
      </c>
      <c r="M5" s="16">
        <v>0.7</v>
      </c>
      <c r="N5" s="16">
        <f>M5*L5</f>
        <v>9.31</v>
      </c>
    </row>
    <row r="6" spans="12:14" ht="12.75">
      <c r="L6" s="16">
        <v>6.4</v>
      </c>
      <c r="M6" s="16">
        <v>5.37</v>
      </c>
      <c r="N6" s="16">
        <f>M6*L6</f>
        <v>34.368</v>
      </c>
    </row>
    <row r="7" spans="12:14" ht="12.75">
      <c r="L7" s="16">
        <v>5.55</v>
      </c>
      <c r="M7" s="16">
        <v>4.9</v>
      </c>
      <c r="N7" s="16">
        <f>M7*L7</f>
        <v>27.195</v>
      </c>
    </row>
    <row r="8" ht="12.75">
      <c r="N8" s="16">
        <f>SUM(N4:N7)-N15</f>
        <v>42.91169999999998</v>
      </c>
    </row>
    <row r="10" ht="12.75">
      <c r="L10" s="16" t="s">
        <v>166</v>
      </c>
    </row>
    <row r="11" spans="12:14" ht="12.75">
      <c r="L11" s="16">
        <v>11.5</v>
      </c>
      <c r="M11" s="16">
        <v>4.45</v>
      </c>
      <c r="N11" s="16">
        <f>M11*L11</f>
        <v>51.175000000000004</v>
      </c>
    </row>
    <row r="12" spans="12:14" ht="12.75">
      <c r="L12" s="16">
        <v>11.5</v>
      </c>
      <c r="M12" s="16">
        <v>0.7</v>
      </c>
      <c r="N12" s="16">
        <f>M12*L12</f>
        <v>8.049999999999999</v>
      </c>
    </row>
    <row r="13" spans="12:14" ht="12.75">
      <c r="L13" s="16">
        <v>5.65</v>
      </c>
      <c r="M13" s="16">
        <v>4.45</v>
      </c>
      <c r="N13" s="16">
        <f>M13*L13</f>
        <v>25.142500000000002</v>
      </c>
    </row>
    <row r="14" spans="12:14" ht="12.75">
      <c r="L14" s="16">
        <v>4.63</v>
      </c>
      <c r="M14" s="16">
        <v>3.76</v>
      </c>
      <c r="N14" s="16">
        <f>M14*L14</f>
        <v>17.4088</v>
      </c>
    </row>
    <row r="15" ht="12.75">
      <c r="N15" s="16">
        <f>SUM(N11:N14)</f>
        <v>101.7763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L2:P15"/>
  <sheetViews>
    <sheetView zoomScale="50" zoomScaleNormal="50" workbookViewId="0" topLeftCell="A1">
      <selection activeCell="J18" sqref="J18"/>
    </sheetView>
  </sheetViews>
  <sheetFormatPr defaultColWidth="9.140625" defaultRowHeight="15"/>
  <cols>
    <col min="1" max="16384" width="9.140625" style="16" customWidth="1"/>
  </cols>
  <sheetData>
    <row r="2" ht="12.75">
      <c r="L2" s="16" t="s">
        <v>124</v>
      </c>
    </row>
    <row r="3" spans="12:14" ht="12.75">
      <c r="L3" s="16">
        <v>1.5</v>
      </c>
      <c r="M3" s="16">
        <v>2.5</v>
      </c>
      <c r="N3" s="16">
        <f>M3*L3</f>
        <v>3.75</v>
      </c>
    </row>
    <row r="4" spans="12:14" ht="12.75">
      <c r="L4" s="16">
        <v>1.5</v>
      </c>
      <c r="M4" s="16">
        <v>1</v>
      </c>
      <c r="N4" s="16">
        <f>M4*L4</f>
        <v>1.5</v>
      </c>
    </row>
    <row r="5" spans="12:14" ht="12.75">
      <c r="L5" s="16">
        <v>1.5</v>
      </c>
      <c r="M5" s="16">
        <v>1.3</v>
      </c>
      <c r="N5" s="16">
        <f>M5*L5</f>
        <v>1.9500000000000002</v>
      </c>
    </row>
    <row r="6" spans="12:14" ht="12.75">
      <c r="L6" s="16">
        <v>1.5</v>
      </c>
      <c r="M6" s="16">
        <v>2.5</v>
      </c>
      <c r="N6" s="16">
        <f>M6*L6</f>
        <v>3.75</v>
      </c>
    </row>
    <row r="7" spans="12:14" ht="12.75">
      <c r="L7" s="16">
        <v>1.5</v>
      </c>
      <c r="M7" s="16">
        <v>1.8</v>
      </c>
      <c r="N7" s="16">
        <f>M7*L7</f>
        <v>2.7</v>
      </c>
    </row>
    <row r="8" ht="12.75">
      <c r="N8" s="16">
        <f>SUM(N3:N7)</f>
        <v>13.649999999999999</v>
      </c>
    </row>
    <row r="12" ht="12.75">
      <c r="L12" s="16" t="s">
        <v>125</v>
      </c>
    </row>
    <row r="13" spans="12:16" ht="12.75">
      <c r="L13" s="16">
        <v>250</v>
      </c>
      <c r="M13" s="16">
        <v>2</v>
      </c>
      <c r="N13" s="16">
        <v>0.8</v>
      </c>
      <c r="O13" s="16">
        <v>3</v>
      </c>
      <c r="P13" s="16">
        <f>O13*N13*M13</f>
        <v>4.800000000000001</v>
      </c>
    </row>
    <row r="14" spans="12:16" ht="12.75">
      <c r="L14" s="16" t="s">
        <v>126</v>
      </c>
      <c r="M14" s="16">
        <v>2</v>
      </c>
      <c r="N14" s="16">
        <v>0.8</v>
      </c>
      <c r="O14" s="16">
        <v>6</v>
      </c>
      <c r="P14" s="16">
        <f>O14*N14*M14</f>
        <v>9.600000000000001</v>
      </c>
    </row>
    <row r="15" ht="12.75">
      <c r="O15" s="16">
        <f>SUM(O13:O14)</f>
        <v>9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I3:K15"/>
  <sheetViews>
    <sheetView workbookViewId="0" topLeftCell="A7">
      <selection activeCell="G39" sqref="G39"/>
    </sheetView>
  </sheetViews>
  <sheetFormatPr defaultColWidth="9.140625" defaultRowHeight="15"/>
  <cols>
    <col min="1" max="16384" width="9.140625" style="16" customWidth="1"/>
  </cols>
  <sheetData>
    <row r="3" ht="12.75">
      <c r="I3" s="16" t="s">
        <v>167</v>
      </c>
    </row>
    <row r="5" spans="9:11" ht="12.75">
      <c r="I5" s="16">
        <v>1.05</v>
      </c>
      <c r="J5" s="16">
        <v>3.62</v>
      </c>
      <c r="K5" s="16">
        <f>J5*I5</f>
        <v>3.801</v>
      </c>
    </row>
    <row r="6" spans="9:11" ht="12.75">
      <c r="I6" s="16">
        <v>1.3</v>
      </c>
      <c r="J6" s="16">
        <v>1.6</v>
      </c>
      <c r="K6" s="16">
        <f>J6*I6</f>
        <v>2.08</v>
      </c>
    </row>
    <row r="9" ht="12.75">
      <c r="I9" s="16" t="s">
        <v>168</v>
      </c>
    </row>
    <row r="10" spans="9:11" ht="12.75">
      <c r="I10" s="16">
        <v>2.28</v>
      </c>
      <c r="J10" s="16">
        <v>2.8</v>
      </c>
      <c r="K10" s="16">
        <f>J10*I10</f>
        <v>6.3839999999999995</v>
      </c>
    </row>
    <row r="11" spans="9:11" ht="12.75">
      <c r="I11" s="16">
        <v>10.85</v>
      </c>
      <c r="J11" s="16">
        <v>6.1</v>
      </c>
      <c r="K11" s="16">
        <f>J11*I11</f>
        <v>66.18499999999999</v>
      </c>
    </row>
    <row r="14" spans="9:11" ht="12.75">
      <c r="I14" s="16">
        <v>7.94</v>
      </c>
      <c r="J14" s="16">
        <v>2.8</v>
      </c>
      <c r="K14" s="16">
        <f>J14*I14</f>
        <v>22.232</v>
      </c>
    </row>
    <row r="15" spans="9:11" ht="12.75">
      <c r="I15" s="16">
        <v>10.85</v>
      </c>
      <c r="J15" s="16">
        <v>6.1</v>
      </c>
      <c r="K15" s="16">
        <f>J15*I15</f>
        <v>66.18499999999999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1</cp:lastModifiedBy>
  <cp:lastPrinted>2011-03-09T08:01:54Z</cp:lastPrinted>
  <dcterms:created xsi:type="dcterms:W3CDTF">2009-11-18T13:41:20Z</dcterms:created>
  <dcterms:modified xsi:type="dcterms:W3CDTF">2011-11-08T07:54:25Z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